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showInkAnnotation="0" codeName="ThisWorkbook" defaultThemeVersion="124226"/>
  <xr:revisionPtr revIDLastSave="0" documentId="13_ncr:1_{26A82401-3CB6-4664-BEAA-F9AA496F8517}" xr6:coauthVersionLast="47" xr6:coauthVersionMax="47" xr10:uidLastSave="{00000000-0000-0000-0000-000000000000}"/>
  <workbookProtection workbookAlgorithmName="SHA-256" workbookHashValue="ioDRHm7BQcXl0RxR/B5gSkJHMwYR/S5PDTEoyVmvXb0=" workbookSaltValue="sQoV4zo7Kb/Y88PoJcJEpQ==" workbookSpinCount="100000" lockStructure="1"/>
  <bookViews>
    <workbookView xWindow="-108" yWindow="-108" windowWidth="30936" windowHeight="16776" tabRatio="803" xr2:uid="{00000000-000D-0000-FFFF-FFFF00000000}"/>
  </bookViews>
  <sheets>
    <sheet name="Important information" sheetId="1" r:id="rId1"/>
    <sheet name="Menu" sheetId="2" r:id="rId2"/>
    <sheet name="Facility input" sheetId="3" r:id="rId3"/>
    <sheet name="EERS data entry method 1" sheetId="4" r:id="rId4"/>
    <sheet name="EERS data entry methods 2 3" sheetId="5" r:id="rId5"/>
    <sheet name="About" sheetId="6" r:id="rId6"/>
    <sheet name="Calculations" sheetId="7" state="hidden" r:id="rId7"/>
  </sheets>
  <definedNames>
    <definedName name="beer_CODcon">Calculations!#REF!</definedName>
    <definedName name="beer_Fwan">Calculations!#REF!</definedName>
    <definedName name="beer_Wgen">Calculations!#REF!</definedName>
    <definedName name="dairy_CODcon">Calculations!#REF!</definedName>
    <definedName name="dairy_Fwan">Calculations!#REF!</definedName>
    <definedName name="dairy_Wgen">Calculations!#REF!</definedName>
    <definedName name="fruit_CODcon">Calculations!#REF!</definedName>
    <definedName name="fruit_Fwan">Calculations!#REF!</definedName>
    <definedName name="fruit_Wgen">Calculations!#REF!</definedName>
    <definedName name="InpReq">Calculations!$K$25</definedName>
    <definedName name="IPCC_default_treatment_types">Calculations!$F$3:$F$7</definedName>
    <definedName name="meat_CODcon">Calculations!#REF!</definedName>
    <definedName name="meat_Fwan">Calculations!#REF!</definedName>
    <definedName name="meat_Wgen">Calculations!#REF!</definedName>
    <definedName name="OLE_LINK13" localSheetId="2">'Facility input'!$B$2</definedName>
    <definedName name="organic_CODcon">Calculations!#REF!</definedName>
    <definedName name="organic_Fwan">Calculations!#REF!</definedName>
    <definedName name="organic_Wgen">Calculations!#REF!</definedName>
    <definedName name="PlseDel">Calculations!$K$24</definedName>
    <definedName name="_xlnm.Print_Area" localSheetId="3">'EERS data entry method 1'!$A$1:$S$103</definedName>
    <definedName name="_xlnm.Print_Area" localSheetId="4">'EERS data entry methods 2 3'!$A$1:$S$102</definedName>
    <definedName name="_xlnm.Print_Area" localSheetId="2">'Facility input'!$B$1:$F$82</definedName>
    <definedName name="_xlnm.Print_Area" localSheetId="0">'Important information'!$A$1:$A$3</definedName>
    <definedName name="pulp_CODcon">Calculations!#REF!</definedName>
    <definedName name="pulp_Fwan">Calculations!#REF!</definedName>
    <definedName name="pulp_Wgen">Calculations!#REF!</definedName>
    <definedName name="raw_CODcon">Calculations!#REF!</definedName>
    <definedName name="raw_Fwan">Calculations!#REF!</definedName>
    <definedName name="raw_Wgen">Calculations!#REF!</definedName>
    <definedName name="Seldrop">Calculations!$K$27</definedName>
    <definedName name="wine_CODcon">Calculations!#REF!</definedName>
    <definedName name="wine_Fwan">Calculations!#REF!</definedName>
    <definedName name="wine_Wgen">Calculations!#REF!</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E11" i="3"/>
  <c r="H64" i="7" l="1"/>
  <c r="O54" i="4"/>
  <c r="E26" i="3"/>
  <c r="H25" i="3"/>
  <c r="E25" i="3" s="1"/>
  <c r="O56" i="5"/>
  <c r="B73" i="7"/>
  <c r="H63" i="7"/>
  <c r="H58" i="7"/>
  <c r="J44" i="7" s="1"/>
  <c r="B58" i="7"/>
  <c r="O52" i="4"/>
  <c r="H27" i="3"/>
  <c r="H23" i="3"/>
  <c r="E23" i="3" s="1"/>
  <c r="H24" i="3"/>
  <c r="E24" i="3" s="1"/>
  <c r="O44" i="4"/>
  <c r="E33" i="3"/>
  <c r="E32" i="3"/>
  <c r="O57" i="4"/>
  <c r="O56" i="4"/>
  <c r="H67" i="7"/>
  <c r="H66" i="7"/>
  <c r="H65" i="7"/>
  <c r="D34" i="3"/>
  <c r="O46" i="5" l="1"/>
  <c r="O43" i="5" l="1"/>
  <c r="O44" i="5"/>
  <c r="O45" i="5"/>
  <c r="O47" i="5"/>
  <c r="O48" i="5"/>
  <c r="O49" i="5"/>
  <c r="O50" i="5"/>
  <c r="O60" i="5"/>
  <c r="O61" i="5"/>
  <c r="O62" i="5"/>
  <c r="L50" i="7" l="1"/>
  <c r="B57" i="7"/>
  <c r="H57" i="7"/>
  <c r="J43" i="7" s="1"/>
  <c r="O55" i="5" s="1"/>
  <c r="B59" i="7"/>
  <c r="B60" i="7"/>
  <c r="B72" i="7" s="1"/>
  <c r="B61" i="7"/>
  <c r="H61" i="7"/>
  <c r="B62" i="7"/>
  <c r="B63" i="7"/>
  <c r="J49" i="7"/>
  <c r="O57" i="5" s="1"/>
  <c r="B64" i="7"/>
  <c r="J50" i="7"/>
  <c r="O58" i="5" s="1"/>
  <c r="B65" i="7"/>
  <c r="J51" i="7"/>
  <c r="B66" i="7"/>
  <c r="J52" i="7"/>
  <c r="B67" i="7"/>
  <c r="J53" i="7"/>
  <c r="B68" i="7"/>
  <c r="B69" i="7"/>
  <c r="O53" i="4"/>
  <c r="O51" i="4"/>
  <c r="O47" i="4"/>
  <c r="O46" i="4"/>
  <c r="O45" i="4"/>
  <c r="O43" i="4"/>
  <c r="O42" i="4"/>
  <c r="O41" i="4"/>
  <c r="O40" i="4" l="1"/>
  <c r="E19" i="3" l="1"/>
  <c r="O55" i="4" l="1"/>
  <c r="H7" i="3"/>
  <c r="E7" i="3" s="1"/>
  <c r="H33" i="3"/>
  <c r="H32" i="3"/>
  <c r="H6" i="3"/>
  <c r="E6" i="3" s="1"/>
  <c r="D49" i="3"/>
  <c r="V62" i="7"/>
  <c r="U62" i="7"/>
  <c r="T62" i="7"/>
  <c r="V61" i="7"/>
  <c r="U61" i="7"/>
  <c r="T61" i="7"/>
  <c r="V60" i="7"/>
  <c r="U60" i="7"/>
  <c r="T60" i="7"/>
  <c r="V59" i="7"/>
  <c r="U59" i="7"/>
  <c r="T59" i="7"/>
  <c r="V57" i="7"/>
  <c r="U57" i="7"/>
  <c r="T57" i="7"/>
  <c r="V56" i="7"/>
  <c r="U56" i="7"/>
  <c r="T56" i="7"/>
  <c r="V55" i="7"/>
  <c r="U55" i="7"/>
  <c r="T55" i="7"/>
  <c r="V54" i="7"/>
  <c r="U54" i="7"/>
  <c r="T54" i="7"/>
  <c r="R54" i="7"/>
  <c r="R53" i="7"/>
  <c r="V46" i="7"/>
  <c r="U46" i="7"/>
  <c r="T46" i="7"/>
  <c r="V45" i="7"/>
  <c r="U45" i="7"/>
  <c r="T45" i="7"/>
  <c r="V43" i="7"/>
  <c r="U43" i="7"/>
  <c r="T43" i="7"/>
  <c r="V42" i="7"/>
  <c r="U42" i="7"/>
  <c r="T42" i="7"/>
  <c r="V41" i="7"/>
  <c r="U41" i="7"/>
  <c r="T41" i="7"/>
  <c r="V40" i="7"/>
  <c r="U40" i="7"/>
  <c r="T40" i="7"/>
  <c r="V39" i="7"/>
  <c r="V37" i="7" s="1"/>
  <c r="U39" i="7"/>
  <c r="T39" i="7"/>
  <c r="V38" i="7"/>
  <c r="U38" i="7"/>
  <c r="T38" i="7"/>
  <c r="R38" i="7"/>
  <c r="R37" i="7"/>
  <c r="V30" i="7"/>
  <c r="U30" i="7"/>
  <c r="T30" i="7"/>
  <c r="V29" i="7"/>
  <c r="U29" i="7"/>
  <c r="T29" i="7"/>
  <c r="V28" i="7"/>
  <c r="U28" i="7"/>
  <c r="T28" i="7"/>
  <c r="V27" i="7"/>
  <c r="U27" i="7"/>
  <c r="T27" i="7"/>
  <c r="V26" i="7"/>
  <c r="U26" i="7"/>
  <c r="T26" i="7"/>
  <c r="V25" i="7"/>
  <c r="U25" i="7"/>
  <c r="T25" i="7"/>
  <c r="V24" i="7"/>
  <c r="U24" i="7"/>
  <c r="T24" i="7"/>
  <c r="V23" i="7"/>
  <c r="U23" i="7"/>
  <c r="T23" i="7"/>
  <c r="R23" i="7"/>
  <c r="R22" i="7"/>
  <c r="V15" i="7"/>
  <c r="U15" i="7"/>
  <c r="T15" i="7"/>
  <c r="V14" i="7"/>
  <c r="U14" i="7"/>
  <c r="T14" i="7"/>
  <c r="V13" i="7"/>
  <c r="U13" i="7"/>
  <c r="T13" i="7"/>
  <c r="V12" i="7"/>
  <c r="U12" i="7"/>
  <c r="T12" i="7"/>
  <c r="V11" i="7"/>
  <c r="U11" i="7"/>
  <c r="T11" i="7"/>
  <c r="V10" i="7"/>
  <c r="U10" i="7"/>
  <c r="T10" i="7"/>
  <c r="V9" i="7"/>
  <c r="U9" i="7"/>
  <c r="T9" i="7"/>
  <c r="V8" i="7"/>
  <c r="U8" i="7"/>
  <c r="T8" i="7"/>
  <c r="R8" i="7"/>
  <c r="R7" i="7"/>
  <c r="H7" i="7"/>
  <c r="I7" i="7" s="1"/>
  <c r="H6" i="7"/>
  <c r="I6" i="7" s="1"/>
  <c r="H5" i="7"/>
  <c r="I5" i="7" s="1"/>
  <c r="H4" i="7"/>
  <c r="I4" i="7" s="1"/>
  <c r="H3" i="7"/>
  <c r="I3" i="7" s="1"/>
  <c r="B64" i="3"/>
  <c r="B63" i="3"/>
  <c r="B62" i="3"/>
  <c r="B61" i="3"/>
  <c r="B60" i="3"/>
  <c r="B59" i="3"/>
  <c r="B58" i="3"/>
  <c r="B57" i="3"/>
  <c r="B56" i="3"/>
  <c r="D56" i="3"/>
  <c r="E56" i="3"/>
  <c r="D57" i="3"/>
  <c r="E57" i="3"/>
  <c r="F11" i="3" s="1"/>
  <c r="D58" i="3"/>
  <c r="E58" i="3"/>
  <c r="F12" i="3" s="1"/>
  <c r="D59" i="3"/>
  <c r="E13" i="3" s="1"/>
  <c r="E59" i="3"/>
  <c r="D60" i="3"/>
  <c r="E14" i="3" s="1"/>
  <c r="E60" i="3"/>
  <c r="F14" i="3" s="1"/>
  <c r="D61" i="3"/>
  <c r="E15" i="3" s="1"/>
  <c r="E61" i="3"/>
  <c r="F15" i="3" s="1"/>
  <c r="D62" i="3"/>
  <c r="E16" i="3" s="1"/>
  <c r="E62" i="3"/>
  <c r="F16" i="3" s="1"/>
  <c r="D63" i="3"/>
  <c r="E17" i="3" s="1"/>
  <c r="E63" i="3"/>
  <c r="F17" i="3" s="1"/>
  <c r="D64" i="3"/>
  <c r="E18" i="3" s="1"/>
  <c r="E64" i="3"/>
  <c r="F18" i="3" s="1"/>
  <c r="B11" i="3"/>
  <c r="B12" i="3"/>
  <c r="B13" i="3"/>
  <c r="B14" i="3"/>
  <c r="B15" i="3"/>
  <c r="B16" i="3"/>
  <c r="B17" i="3"/>
  <c r="B18" i="3"/>
  <c r="H21" i="3"/>
  <c r="E21" i="3" s="1"/>
  <c r="E27" i="3"/>
  <c r="H28" i="3"/>
  <c r="E28" i="3" s="1"/>
  <c r="H29" i="3"/>
  <c r="E29" i="3" s="1"/>
  <c r="F13" i="3" l="1"/>
  <c r="G13" i="3" s="1"/>
  <c r="G15" i="3"/>
  <c r="G17" i="3"/>
  <c r="G16" i="3"/>
  <c r="G14" i="3"/>
  <c r="G12" i="3"/>
  <c r="G18" i="3"/>
  <c r="G11" i="3"/>
  <c r="V53" i="7"/>
  <c r="T53" i="7" s="1"/>
  <c r="Y54" i="7" s="1"/>
  <c r="V22" i="7"/>
  <c r="T22" i="7" s="1"/>
  <c r="Y23" i="7" s="1"/>
  <c r="V7" i="7"/>
  <c r="T7" i="7" s="1"/>
  <c r="Y8" i="7" s="1"/>
  <c r="T37" i="7"/>
  <c r="Y38" i="7" s="1"/>
  <c r="G19" i="3" l="1"/>
  <c r="H30" i="3"/>
  <c r="H60" i="7" s="1"/>
  <c r="H31" i="3"/>
  <c r="H62" i="7" s="1"/>
  <c r="D22" i="3" l="1"/>
  <c r="D46" i="3" s="1"/>
  <c r="H59" i="7"/>
  <c r="D19" i="3"/>
  <c r="E30" i="3" s="1"/>
  <c r="H71" i="7" l="1"/>
  <c r="J45" i="7"/>
  <c r="O51" i="5" s="1"/>
  <c r="H70" i="7"/>
  <c r="H72" i="7" s="1"/>
  <c r="J46" i="7" s="1"/>
  <c r="O48" i="4" s="1"/>
  <c r="D45" i="3"/>
  <c r="E22" i="3"/>
  <c r="H73" i="7"/>
  <c r="J48" i="7" s="1"/>
  <c r="O54" i="5" s="1"/>
  <c r="H68" i="7"/>
  <c r="J47" i="7" s="1"/>
  <c r="O49" i="4" s="1"/>
  <c r="E31" i="3"/>
  <c r="O52" i="5" l="1"/>
  <c r="D47" i="3"/>
  <c r="D5" i="2" s="1"/>
  <c r="D6" i="2" s="1"/>
  <c r="J54" i="7"/>
  <c r="O53" i="5" s="1"/>
  <c r="D51" i="3" l="1"/>
  <c r="H69" i="7"/>
  <c r="J55" i="7" s="1"/>
  <c r="O59" i="5" s="1"/>
  <c r="D7" i="2"/>
  <c r="O50" i="4"/>
  <c r="D43" i="3" l="1"/>
  <c r="O69" i="4" s="1"/>
  <c r="O74" i="5" l="1"/>
</calcChain>
</file>

<file path=xl/sharedStrings.xml><?xml version="1.0" encoding="utf-8"?>
<sst xmlns="http://schemas.openxmlformats.org/spreadsheetml/2006/main" count="325" uniqueCount="208">
  <si>
    <t>Enter data to calculate emissions using method 1, 2 or 3</t>
  </si>
  <si>
    <t>View emissions data and instructions for entry into EERS using method 1</t>
  </si>
  <si>
    <t>View emissions data and instructions for entry into EERS using method 2 or 3</t>
  </si>
  <si>
    <t>This calculator is designed to calculate emissions from industrial wastewater for plants at a single facility. Multiple facilities will require data to be entered in separate calculators. 
Data is entered in the Facility input worksheet. You can select to enter  data using methods 1, 2 or 3 by clicking on the method in the drop-down menu.  Once data entry is complete, you will be able to view the emissions data and instruction for entry into the Emissions and Energy Reporting System (EERS) for the method you have selected.</t>
  </si>
  <si>
    <r>
      <rPr>
        <b/>
        <sz val="12"/>
        <color rgb="FF000000"/>
        <rFont val="Calibri"/>
        <family val="2"/>
      </rPr>
      <t>Note:</t>
    </r>
    <r>
      <rPr>
        <sz val="12"/>
        <color rgb="FF000000"/>
        <rFont val="Calibri"/>
        <family val="2"/>
      </rPr>
      <t xml:space="preserve"> chemical oxygen demand (COD) can be derived from biological oxygen demand (BOD) under methods 2 or 3 (COD = 2.6 x BOD5).</t>
    </r>
  </si>
  <si>
    <t>Reporting period</t>
  </si>
  <si>
    <t>Method used for data entry</t>
  </si>
  <si>
    <r>
      <t xml:space="preserve">For Method 1 enter </t>
    </r>
    <r>
      <rPr>
        <b/>
        <i/>
        <sz val="14"/>
        <color indexed="8"/>
        <rFont val="Calibri"/>
        <family val="2"/>
      </rPr>
      <t>Prod</t>
    </r>
    <r>
      <rPr>
        <b/>
        <i/>
        <vertAlign val="subscript"/>
        <sz val="14"/>
        <color indexed="8"/>
        <rFont val="Calibri"/>
        <family val="2"/>
      </rPr>
      <t>i</t>
    </r>
    <r>
      <rPr>
        <b/>
        <sz val="14"/>
        <color indexed="8"/>
        <rFont val="Calibri"/>
        <family val="2"/>
      </rPr>
      <t xml:space="preserve">, </t>
    </r>
    <r>
      <rPr>
        <b/>
        <i/>
        <sz val="14"/>
        <color indexed="8"/>
        <rFont val="Calibri"/>
        <family val="2"/>
      </rPr>
      <t>W</t>
    </r>
    <r>
      <rPr>
        <b/>
        <i/>
        <vertAlign val="subscript"/>
        <sz val="14"/>
        <color indexed="8"/>
        <rFont val="Calibri"/>
        <family val="2"/>
      </rPr>
      <t>gen,i</t>
    </r>
    <r>
      <rPr>
        <b/>
        <sz val="14"/>
        <color indexed="8"/>
        <rFont val="Calibri"/>
        <family val="2"/>
      </rPr>
      <t xml:space="preserve">, </t>
    </r>
    <r>
      <rPr>
        <b/>
        <i/>
        <sz val="14"/>
        <color indexed="8"/>
        <rFont val="Calibri"/>
        <family val="2"/>
      </rPr>
      <t>COD</t>
    </r>
    <r>
      <rPr>
        <b/>
        <i/>
        <vertAlign val="subscript"/>
        <sz val="14"/>
        <color indexed="8"/>
        <rFont val="Calibri"/>
        <family val="2"/>
      </rPr>
      <t>con,I</t>
    </r>
    <r>
      <rPr>
        <b/>
        <sz val="14"/>
        <color indexed="8"/>
        <rFont val="Calibri"/>
        <family val="2"/>
      </rPr>
      <t xml:space="preserve"> to determine </t>
    </r>
    <r>
      <rPr>
        <b/>
        <i/>
        <sz val="14"/>
        <color indexed="8"/>
        <rFont val="Calibri"/>
        <family val="2"/>
      </rPr>
      <t>COD</t>
    </r>
    <r>
      <rPr>
        <b/>
        <i/>
        <vertAlign val="subscript"/>
        <sz val="14"/>
        <color indexed="8"/>
        <rFont val="Calibri"/>
        <family val="2"/>
      </rPr>
      <t>w,i</t>
    </r>
    <r>
      <rPr>
        <b/>
        <sz val="14"/>
        <color indexed="8"/>
        <rFont val="Calibri"/>
        <family val="2"/>
      </rPr>
      <t>. Default values can be selected from the table at the bottom of this sheet.</t>
    </r>
  </si>
  <si>
    <t>Commodity</t>
  </si>
  <si>
    <r>
      <t>Commodity amount (tonnes) (</t>
    </r>
    <r>
      <rPr>
        <i/>
        <sz val="12"/>
        <color indexed="8"/>
        <rFont val="Calibri"/>
        <family val="2"/>
      </rPr>
      <t>Prod</t>
    </r>
    <r>
      <rPr>
        <i/>
        <vertAlign val="subscript"/>
        <sz val="12"/>
        <color indexed="8"/>
        <rFont val="Calibri"/>
        <family val="2"/>
      </rPr>
      <t>i</t>
    </r>
    <r>
      <rPr>
        <sz val="12"/>
        <color indexed="8"/>
        <rFont val="Calibri"/>
        <family val="2"/>
      </rPr>
      <t>)</t>
    </r>
  </si>
  <si>
    <r>
      <t>Wastewater generation rate 
(m</t>
    </r>
    <r>
      <rPr>
        <vertAlign val="superscript"/>
        <sz val="12"/>
        <color indexed="8"/>
        <rFont val="Calibri"/>
        <family val="2"/>
      </rPr>
      <t>3</t>
    </r>
    <r>
      <rPr>
        <sz val="12"/>
        <color indexed="8"/>
        <rFont val="Calibri"/>
        <family val="2"/>
      </rPr>
      <t xml:space="preserve"> or kL/tonne) (Wgen,</t>
    </r>
    <r>
      <rPr>
        <i/>
        <vertAlign val="subscript"/>
        <sz val="12"/>
        <color indexed="8"/>
        <rFont val="Calibri"/>
        <family val="2"/>
      </rPr>
      <t>i</t>
    </r>
    <r>
      <rPr>
        <sz val="12"/>
        <color indexed="8"/>
        <rFont val="Calibri"/>
        <family val="2"/>
      </rPr>
      <t>)</t>
    </r>
  </si>
  <si>
    <r>
      <t>COD concentration (kg/m</t>
    </r>
    <r>
      <rPr>
        <vertAlign val="superscript"/>
        <sz val="12"/>
        <color indexed="8"/>
        <rFont val="Calibri"/>
        <family val="2"/>
      </rPr>
      <t>3</t>
    </r>
    <r>
      <rPr>
        <sz val="12"/>
        <color indexed="8"/>
        <rFont val="Calibri"/>
        <family val="2"/>
      </rPr>
      <t>) (CODcon,</t>
    </r>
    <r>
      <rPr>
        <i/>
        <vertAlign val="subscript"/>
        <sz val="12"/>
        <color indexed="8"/>
        <rFont val="Calibri"/>
        <family val="2"/>
      </rPr>
      <t>i</t>
    </r>
    <r>
      <rPr>
        <sz val="12"/>
        <color indexed="8"/>
        <rFont val="Calibri"/>
        <family val="2"/>
      </rPr>
      <t>)</t>
    </r>
  </si>
  <si>
    <r>
      <t>COD in wastewater (tonnes) (COD</t>
    </r>
    <r>
      <rPr>
        <i/>
        <vertAlign val="subscript"/>
        <sz val="12"/>
        <color indexed="8"/>
        <rFont val="Calibri"/>
        <family val="2"/>
      </rPr>
      <t>w,i</t>
    </r>
    <r>
      <rPr>
        <sz val="12"/>
        <color indexed="8"/>
        <rFont val="Calibri"/>
        <family val="2"/>
      </rPr>
      <t>)</t>
    </r>
  </si>
  <si>
    <r>
      <t>COD in wastewater (tonnes) entering the plant related to the production by the plant of any commodity mentioned above (COD</t>
    </r>
    <r>
      <rPr>
        <i/>
        <vertAlign val="subscript"/>
        <sz val="12"/>
        <rFont val="Calibri"/>
        <family val="2"/>
        <scheme val="minor"/>
      </rPr>
      <t>w,i</t>
    </r>
    <r>
      <rPr>
        <sz val="12"/>
        <rFont val="Calibri"/>
        <family val="2"/>
        <scheme val="minor"/>
      </rPr>
      <t>)</t>
    </r>
  </si>
  <si>
    <r>
      <t>Fraction of COD removed from wastewater as sludge by the plant (F</t>
    </r>
    <r>
      <rPr>
        <i/>
        <vertAlign val="subscript"/>
        <sz val="12"/>
        <rFont val="Calibri"/>
        <family val="2"/>
      </rPr>
      <t>sl</t>
    </r>
    <r>
      <rPr>
        <sz val="12"/>
        <rFont val="Calibri"/>
        <family val="2"/>
      </rPr>
      <t>)</t>
    </r>
  </si>
  <si>
    <r>
      <t>Quantity of COD removed as sludge from wastewater during the year) (tonnes) (COD</t>
    </r>
    <r>
      <rPr>
        <i/>
        <vertAlign val="subscript"/>
        <sz val="12"/>
        <rFont val="Calibri"/>
        <family val="2"/>
      </rPr>
      <t>sl</t>
    </r>
    <r>
      <rPr>
        <sz val="12"/>
        <rFont val="Calibri"/>
        <family val="2"/>
      </rPr>
      <t>)</t>
    </r>
  </si>
  <si>
    <r>
      <t>Quantity of COD effluent leaving the plant (tonnes) (COD</t>
    </r>
    <r>
      <rPr>
        <i/>
        <vertAlign val="subscript"/>
        <sz val="12"/>
        <rFont val="Calibri"/>
        <family val="2"/>
        <scheme val="minor"/>
      </rPr>
      <t>eff</t>
    </r>
    <r>
      <rPr>
        <sz val="12"/>
        <rFont val="Calibri"/>
        <family val="2"/>
        <scheme val="minor"/>
      </rPr>
      <t>)</t>
    </r>
  </si>
  <si>
    <r>
      <t>Quantity of COD in sludge transferred out of the plant and removed to landfill (tonnes) (COD</t>
    </r>
    <r>
      <rPr>
        <i/>
        <vertAlign val="subscript"/>
        <sz val="12"/>
        <rFont val="Calibri"/>
        <family val="2"/>
      </rPr>
      <t>trl</t>
    </r>
    <r>
      <rPr>
        <sz val="12"/>
        <rFont val="Calibri"/>
        <family val="2"/>
      </rPr>
      <t>)</t>
    </r>
  </si>
  <si>
    <r>
      <t>Quantity of methane in sludge biogas captured for combustion for the plant (m</t>
    </r>
    <r>
      <rPr>
        <vertAlign val="superscript"/>
        <sz val="12"/>
        <rFont val="Calibri"/>
        <family val="2"/>
      </rPr>
      <t>3</t>
    </r>
    <r>
      <rPr>
        <sz val="12"/>
        <rFont val="Calibri"/>
        <family val="2"/>
      </rPr>
      <t>) (Q</t>
    </r>
    <r>
      <rPr>
        <i/>
        <vertAlign val="subscript"/>
        <sz val="12"/>
        <rFont val="Calibri"/>
        <family val="2"/>
      </rPr>
      <t>cap</t>
    </r>
    <r>
      <rPr>
        <sz val="12"/>
        <rFont val="Calibri"/>
        <family val="2"/>
      </rPr>
      <t>)</t>
    </r>
  </si>
  <si>
    <r>
      <t>Quantity of methane in sludge biogas flared by the plant (m</t>
    </r>
    <r>
      <rPr>
        <vertAlign val="superscript"/>
        <sz val="12"/>
        <rFont val="Calibri"/>
        <family val="2"/>
      </rPr>
      <t>3</t>
    </r>
    <r>
      <rPr>
        <sz val="12"/>
        <rFont val="Calibri"/>
        <family val="2"/>
      </rPr>
      <t>) (Q</t>
    </r>
    <r>
      <rPr>
        <i/>
        <vertAlign val="subscript"/>
        <sz val="12"/>
        <rFont val="Calibri"/>
        <family val="2"/>
      </rPr>
      <t>flared</t>
    </r>
    <r>
      <rPr>
        <sz val="12"/>
        <rFont val="Calibri"/>
        <family val="2"/>
      </rPr>
      <t>)</t>
    </r>
  </si>
  <si>
    <r>
      <t>Quantity of methane in sludge biogas transferred out of the plant (m</t>
    </r>
    <r>
      <rPr>
        <vertAlign val="superscript"/>
        <sz val="12"/>
        <rFont val="Calibri"/>
        <family val="2"/>
      </rPr>
      <t>3</t>
    </r>
    <r>
      <rPr>
        <sz val="12"/>
        <rFont val="Calibri"/>
        <family val="2"/>
      </rPr>
      <t>) (Q</t>
    </r>
    <r>
      <rPr>
        <i/>
        <vertAlign val="subscript"/>
        <sz val="12"/>
        <rFont val="Calibri"/>
        <family val="2"/>
      </rPr>
      <t>tr</t>
    </r>
    <r>
      <rPr>
        <sz val="12"/>
        <rFont val="Calibri"/>
        <family val="2"/>
      </rPr>
      <t xml:space="preserve"> )</t>
    </r>
  </si>
  <si>
    <r>
      <t>Methane correction factor for wastewater treated at the plant (MCF</t>
    </r>
    <r>
      <rPr>
        <vertAlign val="subscript"/>
        <sz val="12"/>
        <rFont val="Calibri"/>
        <family val="2"/>
      </rPr>
      <t>ww</t>
    </r>
    <r>
      <rPr>
        <sz val="12"/>
        <rFont val="Calibri"/>
        <family val="2"/>
      </rPr>
      <t>)</t>
    </r>
  </si>
  <si>
    <t>anaer. lagoon (&gt;2m deep)</t>
  </si>
  <si>
    <r>
      <t>Methane correction factor for sludge treated at the plant (MCF</t>
    </r>
    <r>
      <rPr>
        <vertAlign val="subscript"/>
        <sz val="12"/>
        <rFont val="Calibri"/>
        <family val="2"/>
      </rPr>
      <t>sl</t>
    </r>
    <r>
      <rPr>
        <sz val="12"/>
        <rFont val="Calibri"/>
        <family val="2"/>
      </rPr>
      <t>)</t>
    </r>
  </si>
  <si>
    <r>
      <t>Methane emission factor for industrial wastewater (Ef</t>
    </r>
    <r>
      <rPr>
        <vertAlign val="subscript"/>
        <sz val="12"/>
        <rFont val="Calibri"/>
        <family val="2"/>
      </rPr>
      <t>wij</t>
    </r>
    <r>
      <rPr>
        <sz val="12"/>
        <rFont val="Calibri"/>
        <family val="2"/>
      </rPr>
      <t>)</t>
    </r>
  </si>
  <si>
    <r>
      <t>Methane emission factor for the treatment of sludge (Ef</t>
    </r>
    <r>
      <rPr>
        <vertAlign val="subscript"/>
        <sz val="12"/>
        <rFont val="Calibri"/>
        <family val="2"/>
      </rPr>
      <t>slij</t>
    </r>
    <r>
      <rPr>
        <sz val="12"/>
        <rFont val="Calibri"/>
        <family val="2"/>
      </rPr>
      <t>)</t>
    </r>
  </si>
  <si>
    <r>
      <t>Converting m</t>
    </r>
    <r>
      <rPr>
        <vertAlign val="superscript"/>
        <sz val="12"/>
        <rFont val="Calibri"/>
        <family val="2"/>
        <scheme val="minor"/>
      </rPr>
      <t>3</t>
    </r>
    <r>
      <rPr>
        <sz val="12"/>
        <rFont val="Calibri"/>
        <family val="2"/>
        <scheme val="minor"/>
      </rPr>
      <t xml:space="preserve"> CH</t>
    </r>
    <r>
      <rPr>
        <vertAlign val="subscript"/>
        <sz val="12"/>
        <rFont val="Calibri"/>
        <family val="2"/>
        <scheme val="minor"/>
      </rPr>
      <t>4</t>
    </r>
    <r>
      <rPr>
        <sz val="12"/>
        <rFont val="Calibri"/>
        <family val="2"/>
        <scheme val="minor"/>
      </rPr>
      <t xml:space="preserve"> to t CO</t>
    </r>
    <r>
      <rPr>
        <vertAlign val="subscript"/>
        <sz val="12"/>
        <rFont val="Calibri"/>
        <family val="2"/>
        <scheme val="minor"/>
      </rPr>
      <t>2</t>
    </r>
    <r>
      <rPr>
        <sz val="12"/>
        <rFont val="Calibri"/>
        <family val="2"/>
        <scheme val="minor"/>
      </rPr>
      <t xml:space="preserve">-e </t>
    </r>
  </si>
  <si>
    <t>Value has been calculated for you</t>
  </si>
  <si>
    <t>Emissions released from wastewater handling (industrial)</t>
  </si>
  <si>
    <r>
      <t>Methane released by the plant measured in tonnes CO</t>
    </r>
    <r>
      <rPr>
        <vertAlign val="subscript"/>
        <sz val="12"/>
        <rFont val="Calibri"/>
        <family val="2"/>
      </rPr>
      <t>2</t>
    </r>
    <r>
      <rPr>
        <sz val="12"/>
        <rFont val="Calibri"/>
        <family val="2"/>
      </rPr>
      <t>-e</t>
    </r>
  </si>
  <si>
    <t>Tonnes CO2-e</t>
  </si>
  <si>
    <r>
      <rPr>
        <sz val="12"/>
        <rFont val="Calibri"/>
        <family val="2"/>
        <scheme val="minor"/>
      </rPr>
      <t>Methane generated by the plant in tonnes CO</t>
    </r>
    <r>
      <rPr>
        <vertAlign val="subscript"/>
        <sz val="12"/>
        <rFont val="Calibri"/>
        <family val="2"/>
        <scheme val="minor"/>
      </rPr>
      <t>2</t>
    </r>
    <r>
      <rPr>
        <sz val="12"/>
        <rFont val="Calibri"/>
        <family val="2"/>
        <scheme val="minor"/>
      </rPr>
      <t>-e</t>
    </r>
  </si>
  <si>
    <t>Sludge</t>
  </si>
  <si>
    <t>Wastewater</t>
  </si>
  <si>
    <t>Total</t>
  </si>
  <si>
    <r>
      <t>Methane</t>
    </r>
    <r>
      <rPr>
        <sz val="12"/>
        <color indexed="8"/>
        <rFont val="Calibri"/>
        <family val="2"/>
      </rPr>
      <t xml:space="preserve"> captured, flared, or transferred in tonnes CO</t>
    </r>
    <r>
      <rPr>
        <vertAlign val="subscript"/>
        <sz val="12"/>
        <color indexed="8"/>
        <rFont val="Calibri"/>
        <family val="2"/>
      </rPr>
      <t>2</t>
    </r>
    <r>
      <rPr>
        <sz val="12"/>
        <color indexed="8"/>
        <rFont val="Calibri"/>
        <family val="2"/>
      </rPr>
      <t>-e</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</si>
  <si>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in t CO</t>
    </r>
    <r>
      <rPr>
        <vertAlign val="subscript"/>
        <sz val="12"/>
        <rFont val="Calibri"/>
        <family val="2"/>
      </rPr>
      <t>2</t>
    </r>
    <r>
      <rPr>
        <sz val="12"/>
        <rFont val="Calibri"/>
        <family val="2"/>
      </rPr>
      <t>-e)</t>
    </r>
  </si>
  <si>
    <t xml:space="preserve">Method 1 guide: default parameters by commodity - NGER Determination as amended Section 5.42. </t>
  </si>
  <si>
    <t>Units of measurement (Prodi)</t>
  </si>
  <si>
    <t>tonne of product</t>
  </si>
  <si>
    <t>tonne of product (hot standard carcass weight or live weight basis)</t>
  </si>
  <si>
    <t>tonne of raw sugar produced (raw sugar equivalent)</t>
  </si>
  <si>
    <t xml:space="preserve">The following steps will guide you through the process of entering calculator data into EERS.   </t>
  </si>
  <si>
    <t>In EERS, enter the source category, source and activity as displayed below.</t>
  </si>
  <si>
    <t>Select Method 1 in the Method drop down menu</t>
  </si>
  <si>
    <t>A list of Matters to be Identified (MTBI) will be displayed. Enter the following values in the appropriate fields.</t>
  </si>
  <si>
    <t>Method</t>
  </si>
  <si>
    <t>MTBI</t>
  </si>
  <si>
    <t>EERS
 Entry</t>
  </si>
  <si>
    <r>
      <t>the tonnes of commodity produced - Dairy product (Prod</t>
    </r>
    <r>
      <rPr>
        <vertAlign val="subscript"/>
        <sz val="9"/>
        <rFont val="Calibri"/>
        <family val="2"/>
        <scheme val="minor"/>
      </rPr>
      <t>i</t>
    </r>
    <r>
      <rPr>
        <sz val="12"/>
        <rFont val="Calibri"/>
        <family val="2"/>
        <scheme val="minor"/>
      </rPr>
      <t>)</t>
    </r>
  </si>
  <si>
    <r>
      <t>the tonnes of commodity produced - Pulp, paper and paperboard (Prod</t>
    </r>
    <r>
      <rPr>
        <vertAlign val="subscript"/>
        <sz val="12"/>
        <rFont val="Calibri"/>
        <family val="2"/>
        <scheme val="minor"/>
      </rPr>
      <t>i</t>
    </r>
    <r>
      <rPr>
        <sz val="12"/>
        <rFont val="Calibri"/>
        <family val="2"/>
        <scheme val="minor"/>
      </rPr>
      <t>)</t>
    </r>
  </si>
  <si>
    <r>
      <t>the tonnes of commodity produced - Meat and poultry (Prod</t>
    </r>
    <r>
      <rPr>
        <vertAlign val="subscript"/>
        <sz val="12"/>
        <rFont val="Calibri"/>
        <family val="2"/>
        <scheme val="minor"/>
      </rPr>
      <t>i</t>
    </r>
    <r>
      <rPr>
        <sz val="12"/>
        <rFont val="Calibri"/>
        <family val="2"/>
        <scheme val="minor"/>
      </rPr>
      <t>)</t>
    </r>
  </si>
  <si>
    <r>
      <t>the tonnes of commodity produced - Organic chemicals (Prod</t>
    </r>
    <r>
      <rPr>
        <vertAlign val="subscript"/>
        <sz val="12"/>
        <rFont val="Calibri"/>
        <family val="2"/>
        <scheme val="minor"/>
      </rPr>
      <t>i</t>
    </r>
    <r>
      <rPr>
        <sz val="12"/>
        <rFont val="Calibri"/>
        <family val="2"/>
        <scheme val="minor"/>
      </rPr>
      <t>)</t>
    </r>
  </si>
  <si>
    <r>
      <t>the tonnes of commodity produced - Raw sugar (Prod</t>
    </r>
    <r>
      <rPr>
        <vertAlign val="subscript"/>
        <sz val="12"/>
        <rFont val="Calibri"/>
        <family val="2"/>
        <scheme val="minor"/>
      </rPr>
      <t>i</t>
    </r>
    <r>
      <rPr>
        <sz val="12"/>
        <rFont val="Calibri"/>
        <family val="2"/>
        <scheme val="minor"/>
      </rPr>
      <t>)</t>
    </r>
  </si>
  <si>
    <r>
      <t>the tonnes of commodity produced - Beer (Prod</t>
    </r>
    <r>
      <rPr>
        <vertAlign val="subscript"/>
        <sz val="12"/>
        <rFont val="Calibri"/>
        <family val="2"/>
        <scheme val="minor"/>
      </rPr>
      <t>i</t>
    </r>
    <r>
      <rPr>
        <sz val="12"/>
        <rFont val="Calibri"/>
        <family val="2"/>
        <scheme val="minor"/>
      </rPr>
      <t>)</t>
    </r>
  </si>
  <si>
    <r>
      <t>the tonnes of commodity produced - Wine and other alcoholic beverage (Prod</t>
    </r>
    <r>
      <rPr>
        <vertAlign val="subscript"/>
        <sz val="12"/>
        <rFont val="Calibri"/>
        <family val="2"/>
        <scheme val="minor"/>
      </rPr>
      <t>i</t>
    </r>
    <r>
      <rPr>
        <sz val="12"/>
        <rFont val="Calibri"/>
        <family val="2"/>
        <scheme val="minor"/>
      </rPr>
      <t>)</t>
    </r>
  </si>
  <si>
    <r>
      <t>the tonnes of commodity produced - Fruit and vegetable (Prod</t>
    </r>
    <r>
      <rPr>
        <vertAlign val="subscript"/>
        <sz val="12"/>
        <rFont val="Calibri"/>
        <family val="2"/>
        <scheme val="minor"/>
      </rPr>
      <t>i</t>
    </r>
    <r>
      <rPr>
        <sz val="12"/>
        <rFont val="Calibri"/>
        <family val="2"/>
        <scheme val="minor"/>
      </rPr>
      <t>)</t>
    </r>
  </si>
  <si>
    <r>
      <t>the fraction of wastewater anaerobically treated (MCF</t>
    </r>
    <r>
      <rPr>
        <vertAlign val="subscript"/>
        <sz val="12"/>
        <rFont val="Calibri"/>
        <family val="2"/>
        <scheme val="minor"/>
      </rPr>
      <t>ww</t>
    </r>
    <r>
      <rPr>
        <sz val="12"/>
        <rFont val="Calibri"/>
        <family val="2"/>
        <scheme val="minor"/>
      </rPr>
      <t>)</t>
    </r>
  </si>
  <si>
    <r>
      <t>the fraction of COD removed as sludge (F</t>
    </r>
    <r>
      <rPr>
        <vertAlign val="subscript"/>
        <sz val="12"/>
        <rFont val="Calibri"/>
        <family val="2"/>
        <scheme val="minor"/>
      </rPr>
      <t>sl</t>
    </r>
    <r>
      <rPr>
        <sz val="12"/>
        <rFont val="Calibri"/>
        <family val="2"/>
        <scheme val="minor"/>
      </rPr>
      <t>)</t>
    </r>
  </si>
  <si>
    <r>
      <t>the fraction of COD in sludge anaerobically treated on site (MCF</t>
    </r>
    <r>
      <rPr>
        <vertAlign val="subscript"/>
        <sz val="12"/>
        <rFont val="Calibri"/>
        <family val="2"/>
        <scheme val="minor"/>
      </rPr>
      <t>sl</t>
    </r>
    <r>
      <rPr>
        <sz val="12"/>
        <rFont val="Calibri"/>
        <family val="2"/>
        <scheme val="minor"/>
      </rPr>
      <t>)</t>
    </r>
  </si>
  <si>
    <r>
      <t>the tonnes of COD in sludge transferred off site and disposed of at a landfill facility (COD</t>
    </r>
    <r>
      <rPr>
        <vertAlign val="subscript"/>
        <sz val="12"/>
        <rFont val="Calibri"/>
        <family val="2"/>
        <scheme val="minor"/>
      </rPr>
      <t>trl</t>
    </r>
    <r>
      <rPr>
        <sz val="12"/>
        <rFont val="Calibri"/>
        <family val="2"/>
        <scheme val="minor"/>
      </rPr>
      <t>)</t>
    </r>
  </si>
  <si>
    <r>
      <t>the tonnes of COD in effluent leaving the site (COD</t>
    </r>
    <r>
      <rPr>
        <vertAlign val="subscript"/>
        <sz val="12"/>
        <rFont val="Calibri"/>
        <family val="2"/>
        <scheme val="minor"/>
      </rPr>
      <t>eff</t>
    </r>
    <r>
      <rPr>
        <sz val="12"/>
        <rFont val="Calibri"/>
        <family val="2"/>
        <scheme val="minor"/>
      </rPr>
      <t>)</t>
    </r>
  </si>
  <si>
    <r>
      <t>the tonnes of methane (CO</t>
    </r>
    <r>
      <rPr>
        <vertAlign val="subscript"/>
        <sz val="12"/>
        <rFont val="Calibri"/>
        <family val="2"/>
      </rPr>
      <t>2</t>
    </r>
    <r>
      <rPr>
        <sz val="12"/>
        <rFont val="Calibri"/>
        <family val="2"/>
      </rPr>
      <t>-e) captured for production of electricity on site (Q</t>
    </r>
    <r>
      <rPr>
        <vertAlign val="subscript"/>
        <sz val="12"/>
        <rFont val="Calibri"/>
        <family val="2"/>
      </rPr>
      <t>cap</t>
    </r>
    <r>
      <rPr>
        <sz val="12"/>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</si>
  <si>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</si>
  <si>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 xml:space="preserve"> x 0.0006784 x 28)</t>
    </r>
  </si>
  <si>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</si>
  <si>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Enter emissions of methane</t>
  </si>
  <si>
    <r>
      <t>Emissions released during the year (t CO</t>
    </r>
    <r>
      <rPr>
        <vertAlign val="subscript"/>
        <sz val="12"/>
        <rFont val="Calibri"/>
        <family val="2"/>
        <scheme val="minor"/>
      </rPr>
      <t>2</t>
    </r>
    <r>
      <rPr>
        <sz val="12"/>
        <rFont val="Calibri"/>
        <family val="2"/>
        <scheme val="minor"/>
      </rPr>
      <t>-e) (E</t>
    </r>
    <r>
      <rPr>
        <vertAlign val="subscript"/>
        <sz val="12"/>
        <rFont val="Calibri"/>
        <family val="2"/>
        <scheme val="minor"/>
      </rPr>
      <t>j</t>
    </r>
    <r>
      <rPr>
        <sz val="12"/>
        <rFont val="Calibri"/>
        <family val="2"/>
        <scheme val="minor"/>
      </rPr>
      <t>)</t>
    </r>
  </si>
  <si>
    <t xml:space="preserve">The following steps will guide you through the process of entering calculator data into EERS.  </t>
  </si>
  <si>
    <t>Select Method 2 or 3 in the Method drop down menu</t>
  </si>
  <si>
    <t>EERS
Entry</t>
  </si>
  <si>
    <r>
      <t>the tonnes of COD measured entering the treatment site (COD</t>
    </r>
    <r>
      <rPr>
        <vertAlign val="subscript"/>
        <sz val="12"/>
        <rFont val="Calibri"/>
        <family val="2"/>
        <scheme val="minor"/>
      </rPr>
      <t>w,i</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</si>
  <si>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</si>
  <si>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tonnes of emissions (CO</t>
    </r>
    <r>
      <rPr>
        <vertAlign val="subscript"/>
        <sz val="12"/>
        <rFont val="Calibri"/>
        <family val="2"/>
      </rPr>
      <t>2</t>
    </r>
    <r>
      <rPr>
        <sz val="12"/>
        <rFont val="Calibri"/>
        <family val="2"/>
      </rPr>
      <t>-e) generated (CH</t>
    </r>
    <r>
      <rPr>
        <vertAlign val="subscript"/>
        <sz val="12"/>
        <rFont val="Calibri"/>
        <family val="2"/>
      </rPr>
      <t>4</t>
    </r>
    <r>
      <rPr>
        <sz val="12"/>
        <rFont val="Calibri"/>
        <family val="2"/>
      </rPr>
      <t xml:space="preserve"> x 0.0006784 x 28)</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</si>
  <si>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</si>
  <si>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managed aerobic</t>
  </si>
  <si>
    <t>managed aerobic treatment: 0</t>
  </si>
  <si>
    <r>
      <t>W</t>
    </r>
    <r>
      <rPr>
        <vertAlign val="subscript"/>
        <sz val="12"/>
        <rFont val="Calibri"/>
        <family val="2"/>
      </rPr>
      <t>gen,i</t>
    </r>
  </si>
  <si>
    <r>
      <t>COD</t>
    </r>
    <r>
      <rPr>
        <vertAlign val="subscript"/>
        <sz val="12"/>
        <rFont val="Calibri"/>
        <family val="2"/>
      </rPr>
      <t>con,i</t>
    </r>
  </si>
  <si>
    <r>
      <t>MCFww (F</t>
    </r>
    <r>
      <rPr>
        <vertAlign val="subscript"/>
        <sz val="12"/>
        <rFont val="Calibri"/>
        <family val="2"/>
      </rPr>
      <t>wan</t>
    </r>
    <r>
      <rPr>
        <sz val="12"/>
        <rFont val="Calibri"/>
        <family val="2"/>
      </rPr>
      <t>)</t>
    </r>
  </si>
  <si>
    <r>
      <t>Units of measurement (Prod</t>
    </r>
    <r>
      <rPr>
        <vertAlign val="subscript"/>
        <sz val="12"/>
        <rFont val="Calibri"/>
        <family val="2"/>
      </rPr>
      <t>i</t>
    </r>
    <r>
      <rPr>
        <sz val="12"/>
        <rFont val="Calibri"/>
        <family val="2"/>
      </rPr>
      <t>)</t>
    </r>
  </si>
  <si>
    <t>Industrial plant 1</t>
  </si>
  <si>
    <t>Reporting year</t>
  </si>
  <si>
    <t>unmanaged aerobic</t>
  </si>
  <si>
    <t>unmanaged aerobic treatment: 0.3</t>
  </si>
  <si>
    <t>Dairy product (ANZSIC code 113)</t>
  </si>
  <si>
    <t>&lt;==== Input reporting year</t>
  </si>
  <si>
    <r>
      <t>a</t>
    </r>
    <r>
      <rPr>
        <sz val="11"/>
        <color indexed="8"/>
        <rFont val="Calibri"/>
        <family val="2"/>
      </rPr>
      <t>naerobic digester/reactor</t>
    </r>
  </si>
  <si>
    <t>anaerobic digester/reactor: 0.8</t>
  </si>
  <si>
    <t>Pulp, paper and paperboard (ANZSIC code 1510)</t>
  </si>
  <si>
    <t>anaer. lagoon (&lt;2m deep)</t>
  </si>
  <si>
    <t>shallow anaerobic lagoon (&lt;2 metres): 0.2</t>
  </si>
  <si>
    <t>Meat and poultry (ANZSIC codes 1111 and 1112)</t>
  </si>
  <si>
    <t>Column C descriptions</t>
  </si>
  <si>
    <t>deep anaerobic lagoon (&gt;2 metres): 0.8</t>
  </si>
  <si>
    <t>Organic chemicals (ANZSIC codes 18 and 19)</t>
  </si>
  <si>
    <t>MCFsl</t>
  </si>
  <si>
    <t>N/A, no input required</t>
  </si>
  <si>
    <t>Complete worksheet Industrial plant 1.</t>
  </si>
  <si>
    <t>Raw sugar (ANZSIC code 1181)</t>
  </si>
  <si>
    <t>MCFww</t>
  </si>
  <si>
    <t>Complete worksheets Industrial plant 1-4 according to the number of plants at a single facility e.g. if you only have 1 plant at the facility then only fill in Industrial plant 1.</t>
  </si>
  <si>
    <t>Beer (ANZSIC code 1212)</t>
  </si>
  <si>
    <t>&lt;==== Input required</t>
  </si>
  <si>
    <t>Wine and other alcoholic beverage (ANZSIC code 1214)</t>
  </si>
  <si>
    <t>Populate OSCAR fields with values in column I after filling in worksheet Industrial plant 1. You can use copy/paste.</t>
  </si>
  <si>
    <t>Fruit and vegetable (ANZSIC code 1140)</t>
  </si>
  <si>
    <t>Populate OSCAR fields with values in column I after filling in worksheets Industrial plant 1-4 as required. You can use copy/paste. The values are combined for all plants at the facility i.e. quantities are summed and factors are averaged by weight of relevant quantities.</t>
  </si>
  <si>
    <t>AFTER data has been inputted in this worksheet for the plant, use "EERS data entry" worksheet to report into EERS.</t>
  </si>
  <si>
    <t>AFTER data has been inputted for all plants, each in a separate worksheet, use "OSCAR industrial wastewater" worksheet to input combined plant data into OSCAR.</t>
  </si>
  <si>
    <t>Industrial plant 2</t>
  </si>
  <si>
    <t>&lt;======= Input reporting year</t>
  </si>
  <si>
    <t>Cell</t>
  </si>
  <si>
    <t>2008-09 to 2010-11</t>
  </si>
  <si>
    <t>2011-12 to 2021-2022</t>
  </si>
  <si>
    <t>Input required in other fields</t>
  </si>
  <si>
    <t>A10</t>
  </si>
  <si>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(F</t>
    </r>
    <r>
      <rPr>
        <vertAlign val="subscript"/>
        <sz val="12"/>
        <rFont val="Calibri"/>
        <family val="2"/>
      </rPr>
      <t>wan</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F</t>
    </r>
    <r>
      <rPr>
        <vertAlign val="subscript"/>
        <sz val="12"/>
        <rFont val="Calibri"/>
        <family val="2"/>
      </rPr>
      <t>slan</t>
    </r>
    <r>
      <rPr>
        <sz val="12"/>
        <rFont val="Calibri"/>
        <family val="2"/>
      </rPr>
      <t xml:space="preserve"> x EF</t>
    </r>
    <r>
      <rPr>
        <vertAlign val="subscript"/>
        <sz val="12"/>
        <rFont val="Calibri"/>
        <family val="2"/>
      </rPr>
      <t>slij</t>
    </r>
    <r>
      <rPr>
        <sz val="12"/>
        <rFont val="Calibri"/>
        <family val="2"/>
      </rPr>
      <t>] =</t>
    </r>
  </si>
  <si>
    <t>CH4gen = [(CODwi - CODsl - CODeff) x (MCFww x EFwij)] + [(CODsl - CODtrl - CODtro) x MCFsl x EFslij] =</t>
  </si>
  <si>
    <t>&lt;==== Select from drop-down list or input another numerical value</t>
  </si>
  <si>
    <t>C33</t>
  </si>
  <si>
    <r>
      <t>COD</t>
    </r>
    <r>
      <rPr>
        <vertAlign val="subscript"/>
        <sz val="12"/>
        <rFont val="Calibri"/>
        <family val="2"/>
      </rPr>
      <t>w,i</t>
    </r>
    <r>
      <rPr>
        <sz val="12"/>
        <rFont val="Calibri"/>
        <family val="2"/>
      </rPr>
      <t xml:space="preserve"> (tonnes COD in wastewater entering plant)</t>
    </r>
  </si>
  <si>
    <t>Firstly, input data (above) for at least one commodity</t>
  </si>
  <si>
    <t>C34</t>
  </si>
  <si>
    <r>
      <t>F</t>
    </r>
    <r>
      <rPr>
        <vertAlign val="subscript"/>
        <sz val="12"/>
        <rFont val="Calibri"/>
        <family val="2"/>
      </rPr>
      <t>sl</t>
    </r>
    <r>
      <rPr>
        <sz val="12"/>
        <rFont val="Calibri"/>
        <family val="2"/>
      </rPr>
      <t xml:space="preserve"> (Fraction of COD removed as sludge) </t>
    </r>
  </si>
  <si>
    <t>PlseDel</t>
  </si>
  <si>
    <t>Please delete</t>
  </si>
  <si>
    <t>C35</t>
  </si>
  <si>
    <r>
      <t>COD</t>
    </r>
    <r>
      <rPr>
        <vertAlign val="subscript"/>
        <sz val="12"/>
        <rFont val="Calibri"/>
        <family val="2"/>
      </rPr>
      <t xml:space="preserve">sl </t>
    </r>
    <r>
      <rPr>
        <sz val="12"/>
        <rFont val="Calibri"/>
        <family val="2"/>
      </rPr>
      <t>(tonnes COD sludge removed)</t>
    </r>
  </si>
  <si>
    <t>InpReq</t>
  </si>
  <si>
    <t>C36</t>
  </si>
  <si>
    <t>-</t>
  </si>
  <si>
    <t>Quantity of COD effluent leaving the plant (tonnes) (CODeff)</t>
  </si>
  <si>
    <t>Please enter a positive numerical value</t>
  </si>
  <si>
    <t>C37</t>
  </si>
  <si>
    <r>
      <t>COD</t>
    </r>
    <r>
      <rPr>
        <vertAlign val="subscript"/>
        <sz val="12"/>
        <rFont val="Calibri"/>
        <family val="2"/>
      </rPr>
      <t>trl</t>
    </r>
    <r>
      <rPr>
        <sz val="12"/>
        <rFont val="Calibri"/>
        <family val="2"/>
      </rPr>
      <t xml:space="preserve"> (tonnes COD sludge transferred to landfill) </t>
    </r>
  </si>
  <si>
    <r>
      <t>COD</t>
    </r>
    <r>
      <rPr>
        <vertAlign val="subscript"/>
        <sz val="12"/>
        <rFont val="Calibri"/>
        <family val="2"/>
      </rPr>
      <t>trl</t>
    </r>
    <r>
      <rPr>
        <sz val="12"/>
        <rFont val="Calibri"/>
        <family val="2"/>
      </rPr>
      <t xml:space="preserve"> (tonnes, quantity of COD in sludge transferred out of the plant and removed to landfill) </t>
    </r>
  </si>
  <si>
    <t>Seldrop</t>
  </si>
  <si>
    <t>&lt;==== Select from drop-down list</t>
  </si>
  <si>
    <t>C38</t>
  </si>
  <si>
    <r>
      <t>COD</t>
    </r>
    <r>
      <rPr>
        <vertAlign val="subscript"/>
        <sz val="12"/>
        <rFont val="Calibri"/>
        <family val="2"/>
      </rPr>
      <t>tro</t>
    </r>
    <r>
      <rPr>
        <sz val="12"/>
        <rFont val="Calibri"/>
        <family val="2"/>
      </rPr>
      <t xml:space="preserve"> (tonnes COD sludge transferred not landfill) </t>
    </r>
  </si>
  <si>
    <t>C39</t>
  </si>
  <si>
    <r>
      <t>Q</t>
    </r>
    <r>
      <rPr>
        <vertAlign val="subscript"/>
        <sz val="12"/>
        <rFont val="Calibri"/>
        <family val="2"/>
      </rPr>
      <t>cap</t>
    </r>
    <r>
      <rPr>
        <sz val="12"/>
        <rFont val="Calibri"/>
        <family val="2"/>
      </rPr>
      <t xml:space="preserve"> (m³ CH</t>
    </r>
    <r>
      <rPr>
        <vertAlign val="subscript"/>
        <sz val="12"/>
        <rFont val="Calibri"/>
        <family val="2"/>
      </rPr>
      <t>4</t>
    </r>
    <r>
      <rPr>
        <sz val="12"/>
        <rFont val="Calibri"/>
        <family val="2"/>
      </rPr>
      <t xml:space="preserve"> in sludge biogas for combustion) </t>
    </r>
  </si>
  <si>
    <t>C40</t>
  </si>
  <si>
    <r>
      <t>Q</t>
    </r>
    <r>
      <rPr>
        <vertAlign val="subscript"/>
        <sz val="12"/>
        <rFont val="Calibri"/>
        <family val="2"/>
      </rPr>
      <t>flared</t>
    </r>
    <r>
      <rPr>
        <sz val="12"/>
        <rFont val="Calibri"/>
        <family val="2"/>
      </rPr>
      <t xml:space="preserve"> (m³ CH</t>
    </r>
    <r>
      <rPr>
        <vertAlign val="subscript"/>
        <sz val="12"/>
        <rFont val="Calibri"/>
        <family val="2"/>
      </rPr>
      <t>4</t>
    </r>
    <r>
      <rPr>
        <sz val="12"/>
        <rFont val="Calibri"/>
        <family val="2"/>
      </rPr>
      <t xml:space="preserve"> in sludge biogas flared) </t>
    </r>
  </si>
  <si>
    <t>C41</t>
  </si>
  <si>
    <r>
      <t>Q</t>
    </r>
    <r>
      <rPr>
        <vertAlign val="subscript"/>
        <sz val="12"/>
        <rFont val="Calibri"/>
        <family val="2"/>
      </rPr>
      <t>tr</t>
    </r>
    <r>
      <rPr>
        <sz val="12"/>
        <rFont val="Calibri"/>
        <family val="2"/>
      </rPr>
      <t xml:space="preserve"> (m³ CH</t>
    </r>
    <r>
      <rPr>
        <vertAlign val="subscript"/>
        <sz val="12"/>
        <rFont val="Calibri"/>
        <family val="2"/>
      </rPr>
      <t>4</t>
    </r>
    <r>
      <rPr>
        <sz val="12"/>
        <rFont val="Calibri"/>
        <family val="2"/>
      </rPr>
      <t xml:space="preserve"> in sludge biogas transferred elsewhere) </t>
    </r>
  </si>
  <si>
    <t>C42</t>
  </si>
  <si>
    <r>
      <t>F</t>
    </r>
    <r>
      <rPr>
        <vertAlign val="subscript"/>
        <sz val="12"/>
        <rFont val="Calibri"/>
        <family val="2"/>
      </rPr>
      <t xml:space="preserve">wan </t>
    </r>
    <r>
      <rPr>
        <sz val="12"/>
        <rFont val="Calibri"/>
        <family val="2"/>
      </rPr>
      <t>(Fraction of wastewater COD treated anaerobically)</t>
    </r>
  </si>
  <si>
    <r>
      <t>MCF</t>
    </r>
    <r>
      <rPr>
        <vertAlign val="subscript"/>
        <sz val="12"/>
        <rFont val="Calibri"/>
        <family val="2"/>
      </rPr>
      <t xml:space="preserve">ww </t>
    </r>
    <r>
      <rPr>
        <sz val="12"/>
        <rFont val="Calibri"/>
        <family val="2"/>
      </rPr>
      <t>(Fraction of wastewater COD treated anaerobically)</t>
    </r>
  </si>
  <si>
    <t>C43</t>
  </si>
  <si>
    <r>
      <t>F</t>
    </r>
    <r>
      <rPr>
        <vertAlign val="subscript"/>
        <sz val="12"/>
        <rFont val="Calibri"/>
        <family val="2"/>
      </rPr>
      <t>slan</t>
    </r>
    <r>
      <rPr>
        <sz val="12"/>
        <rFont val="Calibri"/>
        <family val="2"/>
      </rPr>
      <t xml:space="preserve"> (Fraction sludge COD treated anaerobically) </t>
    </r>
  </si>
  <si>
    <r>
      <t>MCF</t>
    </r>
    <r>
      <rPr>
        <vertAlign val="subscript"/>
        <sz val="12"/>
        <rFont val="Calibri"/>
        <family val="2"/>
      </rPr>
      <t>sl</t>
    </r>
    <r>
      <rPr>
        <sz val="12"/>
        <rFont val="Calibri"/>
        <family val="2"/>
      </rPr>
      <t xml:space="preserve"> (Fraction sludge COD treated anaerobically) </t>
    </r>
  </si>
  <si>
    <t>Industrial plant 3</t>
  </si>
  <si>
    <t>C44</t>
  </si>
  <si>
    <r>
      <t>EF</t>
    </r>
    <r>
      <rPr>
        <vertAlign val="subscript"/>
        <sz val="12"/>
        <rFont val="Calibri"/>
        <family val="2"/>
      </rPr>
      <t>wij</t>
    </r>
    <r>
      <rPr>
        <sz val="12"/>
        <rFont val="Calibri"/>
        <family val="2"/>
      </rPr>
      <t xml:space="preserve"> (tonnes CO</t>
    </r>
    <r>
      <rPr>
        <vertAlign val="subscript"/>
        <sz val="12"/>
        <rFont val="Calibri"/>
        <family val="2"/>
      </rPr>
      <t>2</t>
    </r>
    <r>
      <rPr>
        <sz val="12"/>
        <rFont val="Calibri"/>
        <family val="2"/>
      </rPr>
      <t>-e / tonne COD)</t>
    </r>
  </si>
  <si>
    <t>C45</t>
  </si>
  <si>
    <r>
      <t>EF</t>
    </r>
    <r>
      <rPr>
        <vertAlign val="subscript"/>
        <sz val="12"/>
        <rFont val="Calibri"/>
        <family val="2"/>
      </rPr>
      <t>slij</t>
    </r>
    <r>
      <rPr>
        <sz val="12"/>
        <rFont val="Calibri"/>
        <family val="2"/>
      </rPr>
      <t xml:space="preserve"> (tonnes CO</t>
    </r>
    <r>
      <rPr>
        <vertAlign val="subscript"/>
        <sz val="12"/>
        <rFont val="Calibri"/>
        <family val="2"/>
      </rPr>
      <t>2</t>
    </r>
    <r>
      <rPr>
        <sz val="12"/>
        <rFont val="Calibri"/>
        <family val="2"/>
      </rPr>
      <t>-e / tonne sludge COD)</t>
    </r>
  </si>
  <si>
    <t>OSCAR Industrial wastewater sheet</t>
  </si>
  <si>
    <t>K201</t>
  </si>
  <si>
    <t>&lt;===== Please ignore this entry</t>
  </si>
  <si>
    <t>The tonnes of COD in sludge transferred off site and disposed of at landfill</t>
  </si>
  <si>
    <t>tonnes</t>
  </si>
  <si>
    <r>
      <t>=COD</t>
    </r>
    <r>
      <rPr>
        <b/>
        <vertAlign val="subscript"/>
        <sz val="11"/>
        <rFont val="Calibri"/>
        <family val="2"/>
      </rPr>
      <t>trl</t>
    </r>
  </si>
  <si>
    <t>The tonnes of COD measured entering treatment site</t>
  </si>
  <si>
    <r>
      <t>=COD</t>
    </r>
    <r>
      <rPr>
        <b/>
        <vertAlign val="subscript"/>
        <sz val="11"/>
        <color indexed="8"/>
        <rFont val="Calibri"/>
        <family val="2"/>
      </rPr>
      <t>w,i</t>
    </r>
  </si>
  <si>
    <t>The fraction of wastewater anaerobically treated</t>
  </si>
  <si>
    <r>
      <t>=MCF</t>
    </r>
    <r>
      <rPr>
        <b/>
        <vertAlign val="subscript"/>
        <sz val="11"/>
        <color indexed="8"/>
        <rFont val="Calibri"/>
        <family val="2"/>
      </rPr>
      <t>ww</t>
    </r>
  </si>
  <si>
    <t>The fraction of COD removed as sludge</t>
  </si>
  <si>
    <r>
      <t>=F</t>
    </r>
    <r>
      <rPr>
        <b/>
        <vertAlign val="subscript"/>
        <sz val="11"/>
        <color indexed="8"/>
        <rFont val="Calibri"/>
        <family val="2"/>
      </rPr>
      <t>sl</t>
    </r>
  </si>
  <si>
    <t>The fraction of COD in sludge anaerobically treated on site</t>
  </si>
  <si>
    <r>
      <t>=MCF</t>
    </r>
    <r>
      <rPr>
        <b/>
        <vertAlign val="subscript"/>
        <sz val="11"/>
        <rFont val="Calibri"/>
        <family val="2"/>
      </rPr>
      <t>sl</t>
    </r>
  </si>
  <si>
    <r>
      <t>=COD</t>
    </r>
    <r>
      <rPr>
        <b/>
        <vertAlign val="subscript"/>
        <sz val="11"/>
        <rFont val="Calibri"/>
        <family val="2"/>
      </rPr>
      <t>tro</t>
    </r>
  </si>
  <si>
    <t>Industrial plant 4</t>
  </si>
  <si>
    <t>Tonnes of COD in effluent leaving the site</t>
  </si>
  <si>
    <r>
      <t>=COD</t>
    </r>
    <r>
      <rPr>
        <b/>
        <vertAlign val="subscript"/>
        <sz val="11"/>
        <rFont val="Calibri"/>
        <family val="2"/>
      </rPr>
      <t>eff</t>
    </r>
  </si>
  <si>
    <r>
      <t>The tonnes of methane (CO</t>
    </r>
    <r>
      <rPr>
        <vertAlign val="subscript"/>
        <sz val="11"/>
        <color indexed="8"/>
        <rFont val="Calibri"/>
        <family val="2"/>
      </rPr>
      <t>2</t>
    </r>
    <r>
      <rPr>
        <sz val="11"/>
        <color indexed="8"/>
        <rFont val="Calibri"/>
        <family val="2"/>
      </rPr>
      <t>-e) captured for production of electricity on site</t>
    </r>
  </si>
  <si>
    <r>
      <t>=Q</t>
    </r>
    <r>
      <rPr>
        <b/>
        <vertAlign val="subscript"/>
        <sz val="11"/>
        <color indexed="8"/>
        <rFont val="Calibri"/>
        <family val="2"/>
      </rPr>
      <t>cap</t>
    </r>
    <r>
      <rPr>
        <b/>
        <sz val="11"/>
        <color indexed="8"/>
        <rFont val="Calibri"/>
        <family val="2"/>
      </rPr>
      <t>*0.0006784*28</t>
    </r>
  </si>
  <si>
    <r>
      <t>The tonnes of methane (CO</t>
    </r>
    <r>
      <rPr>
        <vertAlign val="subscript"/>
        <sz val="11"/>
        <color indexed="8"/>
        <rFont val="Calibri"/>
        <family val="2"/>
      </rPr>
      <t>2</t>
    </r>
    <r>
      <rPr>
        <sz val="11"/>
        <color indexed="8"/>
        <rFont val="Calibri"/>
        <family val="2"/>
      </rPr>
      <t>-e) captured and transferred off site</t>
    </r>
  </si>
  <si>
    <r>
      <t>=Q</t>
    </r>
    <r>
      <rPr>
        <b/>
        <vertAlign val="subscript"/>
        <sz val="11"/>
        <color indexed="8"/>
        <rFont val="Calibri"/>
        <family val="2"/>
      </rPr>
      <t>tr</t>
    </r>
    <r>
      <rPr>
        <b/>
        <sz val="11"/>
        <color indexed="8"/>
        <rFont val="Calibri"/>
        <family val="2"/>
      </rPr>
      <t>*0.0006784*28</t>
    </r>
  </si>
  <si>
    <r>
      <t>The tonnes of methane (CO</t>
    </r>
    <r>
      <rPr>
        <vertAlign val="subscript"/>
        <sz val="11"/>
        <color indexed="8"/>
        <rFont val="Calibri"/>
        <family val="2"/>
      </rPr>
      <t>2</t>
    </r>
    <r>
      <rPr>
        <sz val="11"/>
        <color indexed="8"/>
        <rFont val="Calibri"/>
        <family val="2"/>
      </rPr>
      <t>-e) flared</t>
    </r>
  </si>
  <si>
    <t>t CO2-e</t>
  </si>
  <si>
    <r>
      <t>=Q</t>
    </r>
    <r>
      <rPr>
        <b/>
        <vertAlign val="subscript"/>
        <sz val="11"/>
        <color indexed="8"/>
        <rFont val="Calibri"/>
        <family val="2"/>
      </rPr>
      <t>flared</t>
    </r>
    <r>
      <rPr>
        <b/>
        <sz val="11"/>
        <color indexed="8"/>
        <rFont val="Calibri"/>
        <family val="2"/>
      </rPr>
      <t>*0.0006784*28</t>
    </r>
  </si>
  <si>
    <t>The tonnes of COD removed as sludge</t>
  </si>
  <si>
    <r>
      <t>=COD</t>
    </r>
    <r>
      <rPr>
        <b/>
        <vertAlign val="subscript"/>
        <sz val="11"/>
        <color indexed="8"/>
        <rFont val="Calibri"/>
        <family val="2"/>
      </rPr>
      <t>w,i</t>
    </r>
    <r>
      <rPr>
        <b/>
        <sz val="11"/>
        <color indexed="8"/>
        <rFont val="Calibri"/>
        <family val="2"/>
      </rPr>
      <t>*F</t>
    </r>
    <r>
      <rPr>
        <b/>
        <vertAlign val="subscript"/>
        <sz val="11"/>
        <color indexed="8"/>
        <rFont val="Calibri"/>
        <family val="2"/>
      </rPr>
      <t>sl</t>
    </r>
  </si>
  <si>
    <r>
      <t>The tonnes of emissions (CO</t>
    </r>
    <r>
      <rPr>
        <vertAlign val="subscript"/>
        <sz val="11"/>
        <color indexed="8"/>
        <rFont val="Calibri"/>
        <family val="2"/>
      </rPr>
      <t>2</t>
    </r>
    <r>
      <rPr>
        <sz val="11"/>
        <color indexed="8"/>
        <rFont val="Calibri"/>
        <family val="2"/>
      </rPr>
      <t>-e) generated</t>
    </r>
  </si>
  <si>
    <t>=CH4gen</t>
  </si>
  <si>
    <t>COD in wastewater treated (CODw-CODsl)</t>
  </si>
  <si>
    <t xml:space="preserve">Wastewater calculator (industrial)
</t>
  </si>
  <si>
    <t>Menu</t>
  </si>
  <si>
    <t>Instructions</t>
  </si>
  <si>
    <t>Calculator output and EERS data entry - Method 1</t>
  </si>
  <si>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</si>
  <si>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Calculator output and EERS data entry - Method 2/3</t>
  </si>
  <si>
    <t>Wastewater calculator (industrial)</t>
  </si>
  <si>
    <r>
      <rPr>
        <b/>
        <i/>
        <sz val="11"/>
        <rFont val="Calibri"/>
        <family val="2"/>
        <scheme val="minor"/>
      </rPr>
      <t xml:space="preserve">Important notice: </t>
    </r>
    <r>
      <rPr>
        <i/>
        <sz val="11"/>
        <rFont val="Calibri"/>
        <family val="2"/>
        <scheme val="minor"/>
      </rPr>
      <t xml:space="preserve">
</t>
    </r>
    <r>
      <rPr>
        <sz val="11"/>
        <rFont val="Calibri"/>
        <family val="2"/>
        <scheme val="minor"/>
      </rPr>
      <t xml:space="preserve">The National Greenhouse and Energy Reporting Wastewater Calculator (Industrial) Calculator (the Calculator) has been developed by the Clean Energy Regulator (CER) to assist entities to comply with their reporting obligations under the </t>
    </r>
    <r>
      <rPr>
        <i/>
        <sz val="11"/>
        <rFont val="Calibri"/>
        <family val="2"/>
        <scheme val="minor"/>
      </rPr>
      <t>National Greenhouse and Energy Reporting Act 2007</t>
    </r>
    <r>
      <rPr>
        <sz val="1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1.7) is valid for the 2025–2026 reporting year and is valid for subsequent reporting years until a newer calculator has been made available.  Reporters must check the CER website https://cer.gov.au/schemes/national-greenhouse-and-energy-reporting-scheme/report-emissions-and-energy/nger-calculators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t>
    </r>
    <r>
      <rPr>
        <i/>
        <sz val="11"/>
        <rFont val="Calibri"/>
        <family val="2"/>
        <scheme val="minor"/>
      </rPr>
      <t xml:space="preserve">
</t>
    </r>
  </si>
  <si>
    <t>© Commonwealth of Australia 2026</t>
  </si>
  <si>
    <r>
      <t>Quantity of COD in sludge transferred out of the plant to a site other than a landfill or biochar production facility (tonnes) (COD</t>
    </r>
    <r>
      <rPr>
        <i/>
        <vertAlign val="subscript"/>
        <sz val="12"/>
        <rFont val="Calibri"/>
        <family val="2"/>
      </rPr>
      <t>tro</t>
    </r>
    <r>
      <rPr>
        <sz val="12"/>
        <rFont val="Calibri"/>
        <family val="2"/>
      </rPr>
      <t>)</t>
    </r>
  </si>
  <si>
    <r>
      <t>the tonnes of COD in sludge transferred off site and disposed of at a biochar production facility (COD</t>
    </r>
    <r>
      <rPr>
        <vertAlign val="subscript"/>
        <sz val="12"/>
        <rFont val="Calibri"/>
        <family val="2"/>
        <scheme val="minor"/>
      </rPr>
      <t>trb</t>
    </r>
    <r>
      <rPr>
        <sz val="12"/>
        <rFont val="Calibri"/>
        <family val="2"/>
        <scheme val="minor"/>
      </rPr>
      <t>)</t>
    </r>
  </si>
  <si>
    <r>
      <t>the tonnes of COD in sludge transferred off site and disposed of at a site other than a landfill or biochar production facility (COD</t>
    </r>
    <r>
      <rPr>
        <vertAlign val="subscript"/>
        <sz val="12"/>
        <rFont val="Calibri"/>
        <family val="2"/>
        <scheme val="minor"/>
      </rPr>
      <t>tro</t>
    </r>
    <r>
      <rPr>
        <sz val="12"/>
        <rFont val="Calibri"/>
        <family val="2"/>
        <scheme val="minor"/>
      </rPr>
      <t>)</t>
    </r>
  </si>
  <si>
    <r>
      <rPr>
        <b/>
        <sz val="11"/>
        <color theme="1"/>
        <rFont val="Calibri"/>
        <family val="2"/>
        <scheme val="minor"/>
      </rPr>
      <t>About this calculator</t>
    </r>
    <r>
      <rPr>
        <sz val="11"/>
        <color theme="1"/>
        <rFont val="Calibri"/>
        <family val="2"/>
        <scheme val="minor"/>
      </rPr>
      <t xml:space="preserve">
Title - Wastewater calculator (industrial)
Version - 1.7 - April 2026
Author - The Clean Energy Regulator</t>
    </r>
  </si>
  <si>
    <t>Wastewater Calculator (Industrial) © Commonwealth of Australia 2026.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</si>
  <si>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(2026) Clean Energy Regulator.</t>
  </si>
  <si>
    <t>The tonnes of COD in sludge transferred off site and disposed of at a biochar production facility</t>
  </si>
  <si>
    <r>
      <t>=COD</t>
    </r>
    <r>
      <rPr>
        <b/>
        <vertAlign val="subscript"/>
        <sz val="11"/>
        <rFont val="Calibri"/>
        <family val="2"/>
      </rPr>
      <t>trb</t>
    </r>
  </si>
  <si>
    <t>The tonnes of COD in sludge transferred off site and disposed of at a site other than a landfill or biochar production facility</t>
  </si>
  <si>
    <t>COD in sludge treated (CODsl-CODtrl-CODtrb-CODtro)</t>
  </si>
  <si>
    <r>
      <t>Quantity of COD in sludge transferred out of the plant and removed to a biochar production facility (tonnes) (COD</t>
    </r>
    <r>
      <rPr>
        <i/>
        <vertAlign val="subscript"/>
        <sz val="12"/>
        <rFont val="Calibri"/>
        <family val="2"/>
      </rPr>
      <t>trb</t>
    </r>
    <r>
      <rPr>
        <sz val="12"/>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</si>
</sst>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
  </numFmts>
  <fonts count="79" x14ac:knownFonts="1">
    <font>
      <sz val="10"/>
      <name val="Arial"/>
    </font>
    <font>
      <sz val="11"/>
      <color theme="1"/>
      <name val="Calibri"/>
      <family val="2"/>
      <scheme val="minor"/>
    </font>
    <font>
      <sz val="11"/>
      <color theme="1"/>
      <name val="Calibri"/>
      <family val="2"/>
      <scheme val="minor"/>
    </font>
    <font>
      <sz val="11"/>
      <color indexed="8"/>
      <name val="Calibri"/>
      <family val="2"/>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name val="Calibri"/>
      <family val="2"/>
    </font>
    <font>
      <b/>
      <sz val="10"/>
      <name val="Arial"/>
      <family val="2"/>
    </font>
    <font>
      <b/>
      <sz val="11"/>
      <color indexed="8"/>
      <name val="Calibri"/>
      <family val="2"/>
    </font>
    <font>
      <vertAlign val="subscript"/>
      <sz val="11"/>
      <color indexed="8"/>
      <name val="Calibri"/>
      <family val="2"/>
    </font>
    <font>
      <sz val="11"/>
      <name val="Arial"/>
      <family val="2"/>
    </font>
    <font>
      <b/>
      <sz val="10"/>
      <name val="Calibri"/>
      <family val="2"/>
    </font>
    <font>
      <b/>
      <vertAlign val="subscript"/>
      <sz val="11"/>
      <name val="Calibri"/>
      <family val="2"/>
    </font>
    <font>
      <b/>
      <vertAlign val="subscript"/>
      <sz val="11"/>
      <color indexed="8"/>
      <name val="Calibri"/>
      <family val="2"/>
    </font>
    <font>
      <b/>
      <sz val="14"/>
      <color indexed="8"/>
      <name val="Calibri"/>
      <family val="2"/>
    </font>
    <font>
      <b/>
      <i/>
      <sz val="14"/>
      <color indexed="8"/>
      <name val="Calibri"/>
      <family val="2"/>
    </font>
    <font>
      <b/>
      <i/>
      <vertAlign val="subscript"/>
      <sz val="14"/>
      <color indexed="8"/>
      <name val="Calibri"/>
      <family val="2"/>
    </font>
    <font>
      <b/>
      <i/>
      <sz val="11"/>
      <color indexed="8"/>
      <name val="Calibri"/>
      <family val="2"/>
    </font>
    <font>
      <b/>
      <i/>
      <vertAlign val="subscript"/>
      <sz val="11"/>
      <color indexed="8"/>
      <name val="Calibri"/>
      <family val="2"/>
    </font>
    <font>
      <sz val="11"/>
      <color theme="1"/>
      <name val="Calibri"/>
      <family val="2"/>
      <scheme val="minor"/>
    </font>
    <font>
      <sz val="11"/>
      <color rgb="FF006100"/>
      <name val="Calibri"/>
      <family val="2"/>
      <scheme val="minor"/>
    </font>
    <font>
      <u/>
      <sz val="11"/>
      <color theme="10"/>
      <name val="Calibri"/>
      <family val="2"/>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b/>
      <sz val="12"/>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sz val="12"/>
      <color rgb="FF000000"/>
      <name val="Calibri"/>
      <family val="2"/>
    </font>
    <font>
      <sz val="10"/>
      <color rgb="FF000000"/>
      <name val="Calibri"/>
      <family val="2"/>
    </font>
    <font>
      <b/>
      <u/>
      <sz val="12"/>
      <color rgb="FF000000"/>
      <name val="Calibri"/>
      <family val="2"/>
      <scheme val="minor"/>
    </font>
    <font>
      <sz val="11"/>
      <color rgb="FF000000"/>
      <name val="Calibri"/>
      <family val="2"/>
    </font>
    <font>
      <sz val="10"/>
      <color theme="1"/>
      <name val="Calibri"/>
      <family val="2"/>
      <scheme val="minor"/>
    </font>
    <font>
      <sz val="11"/>
      <color rgb="FF000000"/>
      <name val="Calibri"/>
      <family val="2"/>
      <scheme val="minor"/>
    </font>
    <font>
      <sz val="11"/>
      <name val="Calibri"/>
      <family val="2"/>
      <scheme val="minor"/>
    </font>
    <font>
      <b/>
      <sz val="10"/>
      <color rgb="FF000000"/>
      <name val="Arial"/>
      <family val="2"/>
    </font>
    <font>
      <b/>
      <sz val="10"/>
      <color theme="1"/>
      <name val="Arial"/>
      <family val="2"/>
    </font>
    <font>
      <b/>
      <sz val="12"/>
      <name val="Calibri"/>
      <family val="2"/>
      <scheme val="minor"/>
    </font>
    <font>
      <b/>
      <sz val="12"/>
      <color rgb="FFFF0000"/>
      <name val="Calibri"/>
      <family val="2"/>
      <scheme val="minor"/>
    </font>
    <font>
      <b/>
      <sz val="11"/>
      <color rgb="FF000000"/>
      <name val="Calibri"/>
      <family val="2"/>
      <scheme val="minor"/>
    </font>
    <font>
      <b/>
      <sz val="12"/>
      <color rgb="FF000000"/>
      <name val="Calibri"/>
      <family val="2"/>
    </font>
    <font>
      <b/>
      <sz val="10"/>
      <color rgb="FF000000"/>
      <name val="Calibri"/>
      <family val="2"/>
      <scheme val="minor"/>
    </font>
    <font>
      <b/>
      <sz val="11"/>
      <name val="Calibri"/>
      <family val="2"/>
      <scheme val="minor"/>
    </font>
    <font>
      <b/>
      <sz val="11"/>
      <color rgb="FF000000"/>
      <name val="Calibri"/>
      <family val="2"/>
    </font>
    <font>
      <b/>
      <sz val="14"/>
      <name val="Calibri"/>
      <family val="2"/>
      <scheme val="minor"/>
    </font>
    <font>
      <sz val="8"/>
      <color rgb="FF000000"/>
      <name val="Calibri"/>
      <family val="2"/>
      <scheme val="minor"/>
    </font>
    <font>
      <u/>
      <sz val="12"/>
      <color indexed="12"/>
      <name val="Calibri"/>
      <family val="2"/>
      <scheme val="minor"/>
    </font>
    <font>
      <b/>
      <sz val="14"/>
      <color rgb="FF000000"/>
      <name val="Calibri"/>
      <family val="2"/>
    </font>
    <font>
      <b/>
      <sz val="10"/>
      <color rgb="FF000000"/>
      <name val="Calibri"/>
      <family val="2"/>
    </font>
    <font>
      <sz val="12"/>
      <name val="Arial"/>
      <family val="2"/>
    </font>
    <font>
      <sz val="9"/>
      <name val="Arial"/>
      <family val="2"/>
    </font>
    <font>
      <b/>
      <sz val="14"/>
      <color theme="6"/>
      <name val="Calibri"/>
      <family val="2"/>
      <scheme val="minor"/>
    </font>
    <font>
      <b/>
      <sz val="11"/>
      <name val="Arial"/>
      <family val="2"/>
    </font>
    <font>
      <u/>
      <sz val="14"/>
      <color indexed="12"/>
      <name val="Calibri"/>
      <family val="2"/>
      <scheme val="minor"/>
    </font>
    <font>
      <i/>
      <sz val="10"/>
      <name val="Arial"/>
      <family val="2"/>
    </font>
    <font>
      <sz val="12"/>
      <color theme="1"/>
      <name val="Calibri"/>
      <family val="2"/>
      <scheme val="minor"/>
    </font>
    <font>
      <i/>
      <sz val="12"/>
      <color indexed="8"/>
      <name val="Calibri"/>
      <family val="2"/>
    </font>
    <font>
      <i/>
      <vertAlign val="subscript"/>
      <sz val="12"/>
      <color indexed="8"/>
      <name val="Calibri"/>
      <family val="2"/>
    </font>
    <font>
      <vertAlign val="superscript"/>
      <sz val="12"/>
      <color indexed="8"/>
      <name val="Calibri"/>
      <family val="2"/>
    </font>
    <font>
      <i/>
      <vertAlign val="subscript"/>
      <sz val="12"/>
      <name val="Calibri"/>
      <family val="2"/>
      <scheme val="minor"/>
    </font>
    <font>
      <i/>
      <vertAlign val="subscript"/>
      <sz val="12"/>
      <name val="Calibri"/>
      <family val="2"/>
    </font>
    <font>
      <sz val="14"/>
      <color rgb="FF000000"/>
      <name val="Calibri"/>
      <family val="2"/>
      <scheme val="minor"/>
    </font>
    <font>
      <b/>
      <sz val="14"/>
      <color rgb="FF000000"/>
      <name val="Calibri"/>
      <family val="2"/>
      <scheme val="minor"/>
    </font>
    <font>
      <vertAlign val="superscript"/>
      <sz val="12"/>
      <name val="Calibri"/>
      <family val="2"/>
      <scheme val="minor"/>
    </font>
    <font>
      <vertAlign val="subscript"/>
      <sz val="12"/>
      <name val="Calibri"/>
      <family val="2"/>
      <scheme val="minor"/>
    </font>
    <font>
      <sz val="11"/>
      <color rgb="FFFF0000"/>
      <name val="Calibri"/>
      <family val="2"/>
    </font>
    <font>
      <sz val="18"/>
      <color theme="1"/>
      <name val="Calibri"/>
      <family val="2"/>
      <scheme val="minor"/>
    </font>
    <font>
      <i/>
      <sz val="11"/>
      <name val="Calibri"/>
      <family val="2"/>
      <scheme val="minor"/>
    </font>
    <font>
      <vertAlign val="subscript"/>
      <sz val="9"/>
      <name val="Calibri"/>
      <family val="2"/>
      <scheme val="minor"/>
    </font>
    <font>
      <b/>
      <sz val="11"/>
      <color theme="1"/>
      <name val="Calibri"/>
      <family val="2"/>
      <scheme val="minor"/>
    </font>
    <font>
      <b/>
      <i/>
      <sz val="11"/>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indexed="64"/>
      </top>
      <bottom style="thin">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s>
  <cellStyleXfs count="7">
    <xf numFmtId="0" fontId="0" fillId="0" borderId="0"/>
    <xf numFmtId="0" fontId="26" fillId="2" borderId="0" applyNumberFormat="0" applyBorder="0" applyAlignment="0" applyProtection="0"/>
    <xf numFmtId="0" fontId="4" fillId="0" borderId="0" applyNumberFormat="0" applyFill="0" applyBorder="0" applyAlignment="0" applyProtection="0"/>
    <xf numFmtId="0" fontId="27" fillId="0" borderId="0" applyNumberFormat="0" applyFill="0" applyBorder="0" applyAlignment="0" applyProtection="0">
      <alignment vertical="top"/>
      <protection locked="0"/>
    </xf>
    <xf numFmtId="0" fontId="25" fillId="0" borderId="0"/>
    <xf numFmtId="0" fontId="5" fillId="0" borderId="0"/>
    <xf numFmtId="0" fontId="11" fillId="0" borderId="0"/>
  </cellStyleXfs>
  <cellXfs count="312">
    <xf numFmtId="0" fontId="0" fillId="0" borderId="0" xfId="0"/>
    <xf numFmtId="0" fontId="5" fillId="0" borderId="0" xfId="5" applyProtection="1">
      <protection hidden="1"/>
    </xf>
    <xf numFmtId="0" fontId="29" fillId="0" borderId="0" xfId="5" applyFont="1" applyProtection="1">
      <protection hidden="1"/>
    </xf>
    <xf numFmtId="0" fontId="31" fillId="0" borderId="0" xfId="5" applyFont="1" applyProtection="1">
      <protection hidden="1"/>
    </xf>
    <xf numFmtId="0" fontId="33" fillId="0" borderId="0" xfId="5" applyFont="1" applyProtection="1">
      <protection hidden="1"/>
    </xf>
    <xf numFmtId="0" fontId="35" fillId="0" borderId="0" xfId="0" applyFont="1" applyProtection="1">
      <protection hidden="1"/>
    </xf>
    <xf numFmtId="0" fontId="12" fillId="0" borderId="0" xfId="0" applyFont="1" applyAlignment="1" applyProtection="1">
      <alignment wrapText="1"/>
      <protection hidden="1"/>
    </xf>
    <xf numFmtId="0" fontId="34" fillId="0" borderId="0" xfId="5" applyFont="1" applyProtection="1">
      <protection hidden="1"/>
    </xf>
    <xf numFmtId="0" fontId="29" fillId="0" borderId="3" xfId="5" applyFont="1" applyBorder="1" applyProtection="1">
      <protection hidden="1"/>
    </xf>
    <xf numFmtId="0" fontId="37" fillId="0" borderId="0" xfId="0" applyFont="1"/>
    <xf numFmtId="0" fontId="0" fillId="0" borderId="0" xfId="0" applyProtection="1">
      <protection hidden="1"/>
    </xf>
    <xf numFmtId="0" fontId="32" fillId="0" borderId="0" xfId="0" applyFont="1" applyProtection="1">
      <protection hidden="1"/>
    </xf>
    <xf numFmtId="0" fontId="7" fillId="0" borderId="0" xfId="0" applyFont="1" applyProtection="1">
      <protection hidden="1"/>
    </xf>
    <xf numFmtId="0" fontId="38" fillId="0" borderId="7" xfId="5" applyFont="1" applyBorder="1" applyAlignment="1" applyProtection="1">
      <alignment horizontal="left" vertical="center"/>
      <protection hidden="1"/>
    </xf>
    <xf numFmtId="0" fontId="38" fillId="0" borderId="8" xfId="5" applyFont="1" applyBorder="1" applyAlignment="1" applyProtection="1">
      <alignment horizontal="left" vertical="center"/>
      <protection hidden="1"/>
    </xf>
    <xf numFmtId="0" fontId="39" fillId="0" borderId="0" xfId="2" applyFont="1" applyProtection="1">
      <protection hidden="1"/>
    </xf>
    <xf numFmtId="0" fontId="32" fillId="0" borderId="7" xfId="5" applyFont="1" applyBorder="1" applyAlignment="1" applyProtection="1">
      <alignment vertical="center"/>
      <protection hidden="1"/>
    </xf>
    <xf numFmtId="0" fontId="31" fillId="0" borderId="2" xfId="5"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34" fillId="0" borderId="6" xfId="5" applyFont="1" applyBorder="1" applyAlignment="1" applyProtection="1">
      <alignment horizontal="center" vertical="top"/>
      <protection hidden="1"/>
    </xf>
    <xf numFmtId="0" fontId="34" fillId="0" borderId="9" xfId="5" applyFont="1" applyBorder="1" applyAlignment="1" applyProtection="1">
      <alignment horizontal="center" vertical="center"/>
      <protection hidden="1"/>
    </xf>
    <xf numFmtId="0" fontId="34" fillId="0" borderId="10" xfId="5" applyFont="1" applyBorder="1" applyAlignment="1" applyProtection="1">
      <alignment horizontal="center" vertical="top"/>
      <protection hidden="1"/>
    </xf>
    <xf numFmtId="0" fontId="41" fillId="3" borderId="0" xfId="0" applyFont="1" applyFill="1" applyAlignment="1" applyProtection="1">
      <alignment horizontal="left"/>
      <protection hidden="1"/>
    </xf>
    <xf numFmtId="164" fontId="41" fillId="3" borderId="0" xfId="5" applyNumberFormat="1" applyFont="1" applyFill="1" applyProtection="1">
      <protection hidden="1"/>
    </xf>
    <xf numFmtId="0" fontId="41" fillId="3" borderId="11" xfId="0" applyFont="1" applyFill="1" applyBorder="1" applyAlignment="1" applyProtection="1">
      <alignment horizontal="left"/>
      <protection hidden="1"/>
    </xf>
    <xf numFmtId="0" fontId="41" fillId="3" borderId="12" xfId="0" applyFont="1" applyFill="1" applyBorder="1" applyAlignment="1" applyProtection="1">
      <alignment horizontal="left"/>
      <protection hidden="1"/>
    </xf>
    <xf numFmtId="164" fontId="41" fillId="3" borderId="12" xfId="5" applyNumberFormat="1" applyFont="1" applyFill="1" applyBorder="1" applyProtection="1">
      <protection hidden="1"/>
    </xf>
    <xf numFmtId="164" fontId="41" fillId="3" borderId="13" xfId="5" applyNumberFormat="1" applyFont="1" applyFill="1" applyBorder="1" applyProtection="1">
      <protection hidden="1"/>
    </xf>
    <xf numFmtId="0" fontId="41" fillId="3" borderId="14" xfId="0" applyFont="1" applyFill="1" applyBorder="1" applyAlignment="1" applyProtection="1">
      <alignment horizontal="left"/>
      <protection hidden="1"/>
    </xf>
    <xf numFmtId="164" fontId="41" fillId="3" borderId="3" xfId="5" applyNumberFormat="1" applyFont="1" applyFill="1" applyBorder="1" applyProtection="1">
      <protection hidden="1"/>
    </xf>
    <xf numFmtId="0" fontId="41" fillId="3" borderId="15" xfId="0" applyFont="1" applyFill="1" applyBorder="1" applyAlignment="1" applyProtection="1">
      <alignment horizontal="left"/>
      <protection hidden="1"/>
    </xf>
    <xf numFmtId="0" fontId="41" fillId="3" borderId="16" xfId="0" applyFont="1" applyFill="1" applyBorder="1" applyAlignment="1" applyProtection="1">
      <alignment horizontal="left"/>
      <protection hidden="1"/>
    </xf>
    <xf numFmtId="164" fontId="41" fillId="3" borderId="16" xfId="5" applyNumberFormat="1" applyFont="1" applyFill="1" applyBorder="1" applyProtection="1">
      <protection hidden="1"/>
    </xf>
    <xf numFmtId="164" fontId="41" fillId="3" borderId="17" xfId="5" applyNumberFormat="1" applyFont="1" applyFill="1" applyBorder="1" applyProtection="1">
      <protection hidden="1"/>
    </xf>
    <xf numFmtId="0" fontId="42" fillId="0" borderId="0" xfId="0" applyFont="1"/>
    <xf numFmtId="0" fontId="41" fillId="0" borderId="0" xfId="0" applyFont="1"/>
    <xf numFmtId="0" fontId="7" fillId="0" borderId="0" xfId="0" applyFont="1" applyAlignment="1" applyProtection="1">
      <alignment horizontal="center" vertical="center"/>
      <protection hidden="1"/>
    </xf>
    <xf numFmtId="0" fontId="34" fillId="0" borderId="0" xfId="5" applyFont="1" applyAlignment="1" applyProtection="1">
      <alignment horizontal="center" vertical="top"/>
      <protection hidden="1"/>
    </xf>
    <xf numFmtId="0" fontId="5" fillId="0" borderId="0" xfId="0" applyFont="1" applyAlignment="1">
      <alignment horizontal="center" vertical="center"/>
    </xf>
    <xf numFmtId="0" fontId="30" fillId="0" borderId="0" xfId="5" applyFont="1" applyAlignment="1" applyProtection="1">
      <alignment horizontal="center" vertical="center"/>
      <protection hidden="1"/>
    </xf>
    <xf numFmtId="0" fontId="13" fillId="0" borderId="0" xfId="0" applyFont="1" applyAlignment="1">
      <alignment horizontal="center" vertical="center"/>
    </xf>
    <xf numFmtId="0" fontId="7" fillId="0" borderId="0" xfId="5" applyFont="1" applyAlignment="1" applyProtection="1">
      <alignment wrapText="1"/>
      <protection hidden="1"/>
    </xf>
    <xf numFmtId="0" fontId="29" fillId="0" borderId="0" xfId="5" applyFont="1" applyAlignment="1" applyProtection="1">
      <alignment horizontal="center" vertical="center"/>
      <protection hidden="1"/>
    </xf>
    <xf numFmtId="0" fontId="29" fillId="0" borderId="12" xfId="5" applyFont="1" applyBorder="1" applyProtection="1">
      <protection hidden="1"/>
    </xf>
    <xf numFmtId="0" fontId="33" fillId="0" borderId="14" xfId="5" applyFont="1" applyBorder="1" applyProtection="1">
      <protection hidden="1"/>
    </xf>
    <xf numFmtId="164" fontId="33" fillId="0" borderId="11" xfId="5" applyNumberFormat="1" applyFont="1" applyBorder="1" applyProtection="1">
      <protection hidden="1"/>
    </xf>
    <xf numFmtId="0" fontId="7" fillId="0" borderId="0" xfId="5" applyFont="1" applyProtection="1">
      <protection hidden="1"/>
    </xf>
    <xf numFmtId="0" fontId="33" fillId="3" borderId="14" xfId="5" applyFont="1" applyFill="1" applyBorder="1" applyProtection="1">
      <protection hidden="1"/>
    </xf>
    <xf numFmtId="0" fontId="33" fillId="3" borderId="0" xfId="5" applyFont="1" applyFill="1" applyProtection="1">
      <protection hidden="1"/>
    </xf>
    <xf numFmtId="0" fontId="29" fillId="3" borderId="13" xfId="5" applyFont="1" applyFill="1" applyBorder="1" applyProtection="1">
      <protection hidden="1"/>
    </xf>
    <xf numFmtId="0" fontId="29" fillId="3" borderId="0" xfId="5" applyFont="1" applyFill="1" applyProtection="1">
      <protection hidden="1"/>
    </xf>
    <xf numFmtId="0" fontId="29" fillId="3" borderId="3" xfId="5" applyFont="1" applyFill="1" applyBorder="1" applyProtection="1">
      <protection hidden="1"/>
    </xf>
    <xf numFmtId="0" fontId="0" fillId="0" borderId="11" xfId="0" applyBorder="1"/>
    <xf numFmtId="0" fontId="0" fillId="0" borderId="12" xfId="0" applyBorder="1"/>
    <xf numFmtId="0" fontId="5" fillId="0" borderId="13" xfId="0" applyFont="1" applyBorder="1"/>
    <xf numFmtId="0" fontId="0" fillId="0" borderId="14" xfId="0" applyBorder="1"/>
    <xf numFmtId="0" fontId="5" fillId="3" borderId="3" xfId="0" applyFont="1" applyFill="1" applyBorder="1"/>
    <xf numFmtId="0" fontId="0" fillId="0" borderId="3" xfId="0" applyBorder="1"/>
    <xf numFmtId="0" fontId="35" fillId="0" borderId="0" xfId="0" applyFont="1"/>
    <xf numFmtId="0" fontId="7" fillId="0" borderId="14" xfId="0" applyFont="1" applyBorder="1" applyAlignment="1" applyProtection="1">
      <alignment horizontal="center" vertical="center"/>
      <protection hidden="1"/>
    </xf>
    <xf numFmtId="0" fontId="33" fillId="3" borderId="20" xfId="5" applyFont="1" applyFill="1" applyBorder="1" applyProtection="1">
      <protection hidden="1"/>
    </xf>
    <xf numFmtId="0" fontId="5" fillId="0" borderId="14" xfId="0" applyFont="1" applyBorder="1"/>
    <xf numFmtId="0" fontId="33" fillId="3" borderId="3" xfId="5" applyFont="1" applyFill="1" applyBorder="1" applyProtection="1">
      <protection hidden="1"/>
    </xf>
    <xf numFmtId="0" fontId="29" fillId="3" borderId="20" xfId="5" applyFont="1" applyFill="1" applyBorder="1" applyProtection="1">
      <protection hidden="1"/>
    </xf>
    <xf numFmtId="0" fontId="0" fillId="0" borderId="15" xfId="0" applyBorder="1"/>
    <xf numFmtId="0" fontId="0" fillId="0" borderId="16" xfId="0" applyBorder="1"/>
    <xf numFmtId="0" fontId="33" fillId="3" borderId="15" xfId="5" applyFont="1" applyFill="1" applyBorder="1" applyProtection="1">
      <protection hidden="1"/>
    </xf>
    <xf numFmtId="0" fontId="29" fillId="3" borderId="21" xfId="5" applyFont="1" applyFill="1" applyBorder="1" applyProtection="1">
      <protection hidden="1"/>
    </xf>
    <xf numFmtId="0" fontId="43" fillId="0" borderId="12" xfId="0" applyFont="1" applyBorder="1"/>
    <xf numFmtId="0" fontId="44" fillId="0" borderId="12" xfId="0" applyFont="1" applyBorder="1"/>
    <xf numFmtId="0" fontId="44" fillId="0" borderId="0" xfId="0" applyFont="1"/>
    <xf numFmtId="0" fontId="43" fillId="0" borderId="0" xfId="0" applyFont="1"/>
    <xf numFmtId="0" fontId="31" fillId="0" borderId="0" xfId="5" quotePrefix="1" applyFont="1" applyProtection="1">
      <protection hidden="1"/>
    </xf>
    <xf numFmtId="0" fontId="29" fillId="0" borderId="0" xfId="0" applyFont="1" applyProtection="1">
      <protection hidden="1"/>
    </xf>
    <xf numFmtId="0" fontId="37" fillId="5" borderId="0" xfId="0" applyFont="1" applyFill="1" applyProtection="1">
      <protection hidden="1"/>
    </xf>
    <xf numFmtId="0" fontId="46" fillId="0" borderId="7" xfId="5" applyFont="1" applyBorder="1" applyAlignment="1" applyProtection="1">
      <alignment horizontal="left" vertical="center"/>
      <protection hidden="1"/>
    </xf>
    <xf numFmtId="0" fontId="45" fillId="0" borderId="0" xfId="5" applyFont="1" applyProtection="1">
      <protection hidden="1"/>
    </xf>
    <xf numFmtId="0" fontId="25" fillId="4" borderId="0" xfId="4" applyFill="1" applyProtection="1">
      <protection hidden="1"/>
    </xf>
    <xf numFmtId="0" fontId="42" fillId="4" borderId="0" xfId="4" quotePrefix="1" applyFont="1" applyFill="1" applyProtection="1">
      <protection hidden="1"/>
    </xf>
    <xf numFmtId="0" fontId="5" fillId="4" borderId="0" xfId="5" applyFill="1" applyProtection="1">
      <protection hidden="1"/>
    </xf>
    <xf numFmtId="0" fontId="42" fillId="4" borderId="0" xfId="4" applyFont="1" applyFill="1" applyProtection="1">
      <protection hidden="1"/>
    </xf>
    <xf numFmtId="2" fontId="41" fillId="4" borderId="2" xfId="4" applyNumberFormat="1" applyFont="1" applyFill="1" applyBorder="1" applyAlignment="1" applyProtection="1">
      <alignment horizontal="center" vertical="center"/>
      <protection hidden="1"/>
    </xf>
    <xf numFmtId="2" fontId="41" fillId="4" borderId="0" xfId="4" applyNumberFormat="1" applyFont="1" applyFill="1" applyAlignment="1" applyProtection="1">
      <alignment horizontal="center" vertical="center"/>
      <protection hidden="1"/>
    </xf>
    <xf numFmtId="165" fontId="41" fillId="4" borderId="2" xfId="4" applyNumberFormat="1" applyFont="1" applyFill="1" applyBorder="1" applyAlignment="1" applyProtection="1">
      <alignment horizontal="center" vertical="center"/>
      <protection hidden="1"/>
    </xf>
    <xf numFmtId="165" fontId="41" fillId="4" borderId="0" xfId="4" applyNumberFormat="1" applyFont="1" applyFill="1" applyAlignment="1" applyProtection="1">
      <alignment horizontal="center" vertical="center"/>
      <protection hidden="1"/>
    </xf>
    <xf numFmtId="2" fontId="25" fillId="4" borderId="2" xfId="4" applyNumberFormat="1" applyFill="1" applyBorder="1" applyAlignment="1" applyProtection="1">
      <alignment horizontal="center" vertical="center"/>
      <protection hidden="1"/>
    </xf>
    <xf numFmtId="2" fontId="25" fillId="4" borderId="0" xfId="4" applyNumberFormat="1" applyFill="1" applyAlignment="1" applyProtection="1">
      <alignment horizontal="center" vertical="center"/>
      <protection hidden="1"/>
    </xf>
    <xf numFmtId="2" fontId="41" fillId="4" borderId="2" xfId="5" applyNumberFormat="1" applyFont="1" applyFill="1" applyBorder="1" applyAlignment="1" applyProtection="1">
      <alignment horizontal="center" vertical="center"/>
      <protection hidden="1"/>
    </xf>
    <xf numFmtId="2" fontId="41" fillId="4" borderId="0" xfId="5" applyNumberFormat="1" applyFont="1" applyFill="1" applyAlignment="1" applyProtection="1">
      <alignment horizontal="center" vertical="center"/>
      <protection hidden="1"/>
    </xf>
    <xf numFmtId="0" fontId="41" fillId="4" borderId="0" xfId="4" applyFont="1" applyFill="1" applyAlignment="1" applyProtection="1">
      <alignment vertical="center"/>
      <protection hidden="1"/>
    </xf>
    <xf numFmtId="0" fontId="42" fillId="4" borderId="0" xfId="4" applyFont="1" applyFill="1" applyAlignment="1" applyProtection="1">
      <alignment vertical="center"/>
      <protection hidden="1"/>
    </xf>
    <xf numFmtId="2" fontId="41" fillId="3" borderId="6" xfId="4" applyNumberFormat="1" applyFont="1" applyFill="1" applyBorder="1" applyAlignment="1" applyProtection="1">
      <alignment horizontal="center" vertical="center"/>
      <protection hidden="1"/>
    </xf>
    <xf numFmtId="0" fontId="50" fillId="4" borderId="0" xfId="4" quotePrefix="1" applyFont="1" applyFill="1" applyAlignment="1" applyProtection="1">
      <alignment vertical="center"/>
      <protection hidden="1"/>
    </xf>
    <xf numFmtId="0" fontId="51" fillId="4" borderId="0" xfId="5" quotePrefix="1" applyFont="1" applyFill="1" applyAlignment="1" applyProtection="1">
      <alignment vertical="center"/>
      <protection hidden="1"/>
    </xf>
    <xf numFmtId="0" fontId="47" fillId="4" borderId="0" xfId="4" quotePrefix="1" applyFont="1" applyFill="1" applyAlignment="1" applyProtection="1">
      <alignment vertical="center"/>
      <protection hidden="1"/>
    </xf>
    <xf numFmtId="0" fontId="47" fillId="4" borderId="0" xfId="4" applyFont="1" applyFill="1" applyAlignment="1" applyProtection="1">
      <alignment vertical="center"/>
      <protection hidden="1"/>
    </xf>
    <xf numFmtId="0" fontId="25" fillId="8" borderId="19" xfId="4" applyFill="1" applyBorder="1" applyProtection="1">
      <protection hidden="1"/>
    </xf>
    <xf numFmtId="0" fontId="25" fillId="8" borderId="18" xfId="4" applyFill="1" applyBorder="1" applyProtection="1">
      <protection hidden="1"/>
    </xf>
    <xf numFmtId="0" fontId="41" fillId="8" borderId="18" xfId="4" applyFont="1" applyFill="1" applyBorder="1" applyAlignment="1" applyProtection="1">
      <alignment horizontal="left" vertical="center"/>
      <protection hidden="1"/>
    </xf>
    <xf numFmtId="2" fontId="41" fillId="8" borderId="18" xfId="4" applyNumberFormat="1" applyFont="1" applyFill="1" applyBorder="1" applyAlignment="1" applyProtection="1">
      <alignment horizontal="center" vertical="center"/>
      <protection hidden="1"/>
    </xf>
    <xf numFmtId="0" fontId="41" fillId="8" borderId="23" xfId="4" applyFont="1" applyFill="1" applyBorder="1" applyAlignment="1" applyProtection="1">
      <alignment horizontal="left" vertical="center"/>
      <protection hidden="1"/>
    </xf>
    <xf numFmtId="0" fontId="25" fillId="8" borderId="24" xfId="4" applyFill="1" applyBorder="1" applyProtection="1">
      <protection hidden="1"/>
    </xf>
    <xf numFmtId="0" fontId="25" fillId="8" borderId="23" xfId="4" applyFill="1" applyBorder="1" applyProtection="1">
      <protection hidden="1"/>
    </xf>
    <xf numFmtId="0" fontId="0" fillId="4" borderId="0" xfId="0" applyFill="1" applyProtection="1">
      <protection hidden="1"/>
    </xf>
    <xf numFmtId="0" fontId="29" fillId="0" borderId="0" xfId="5" applyFont="1" applyAlignment="1" applyProtection="1">
      <alignment vertical="center"/>
      <protection hidden="1"/>
    </xf>
    <xf numFmtId="0" fontId="34" fillId="0" borderId="0" xfId="5" applyFont="1" applyAlignment="1" applyProtection="1">
      <alignment vertical="center"/>
      <protection hidden="1"/>
    </xf>
    <xf numFmtId="0" fontId="0" fillId="0" borderId="0" xfId="0" applyAlignment="1" applyProtection="1">
      <alignment vertical="center"/>
      <protection hidden="1"/>
    </xf>
    <xf numFmtId="0" fontId="29" fillId="7" borderId="0" xfId="5" applyFont="1" applyFill="1" applyAlignment="1" applyProtection="1">
      <alignment horizontal="center" vertical="center"/>
      <protection hidden="1"/>
    </xf>
    <xf numFmtId="2" fontId="34" fillId="7" borderId="0" xfId="5" applyNumberFormat="1" applyFont="1" applyFill="1" applyAlignment="1" applyProtection="1">
      <alignment horizontal="center" vertical="center"/>
      <protection hidden="1"/>
    </xf>
    <xf numFmtId="2" fontId="34" fillId="7" borderId="0" xfId="5" applyNumberFormat="1" applyFont="1" applyFill="1" applyAlignment="1" applyProtection="1">
      <alignment horizontal="left" vertical="center"/>
      <protection hidden="1"/>
    </xf>
    <xf numFmtId="2" fontId="31" fillId="7" borderId="0" xfId="5" applyNumberFormat="1" applyFont="1" applyFill="1" applyAlignment="1" applyProtection="1">
      <alignment horizontal="center" vertical="center"/>
      <protection hidden="1"/>
    </xf>
    <xf numFmtId="2" fontId="34" fillId="7" borderId="5" xfId="5" applyNumberFormat="1" applyFont="1" applyFill="1" applyBorder="1" applyAlignment="1" applyProtection="1">
      <alignment horizontal="center" vertical="center"/>
      <protection hidden="1"/>
    </xf>
    <xf numFmtId="0" fontId="29" fillId="7" borderId="5" xfId="5" applyFont="1" applyFill="1" applyBorder="1" applyAlignment="1" applyProtection="1">
      <alignment vertical="center"/>
      <protection hidden="1"/>
    </xf>
    <xf numFmtId="0" fontId="31" fillId="7" borderId="5" xfId="5" applyFont="1" applyFill="1" applyBorder="1" applyAlignment="1" applyProtection="1">
      <alignment vertical="center"/>
      <protection hidden="1"/>
    </xf>
    <xf numFmtId="0" fontId="31" fillId="7" borderId="18" xfId="0" applyFont="1" applyFill="1" applyBorder="1" applyAlignment="1" applyProtection="1">
      <alignment horizontal="left" vertical="center" wrapText="1"/>
      <protection hidden="1"/>
    </xf>
    <xf numFmtId="0" fontId="31" fillId="7" borderId="26" xfId="0" applyFont="1" applyFill="1" applyBorder="1" applyAlignment="1" applyProtection="1">
      <alignment horizontal="left" vertical="center" wrapText="1"/>
      <protection hidden="1"/>
    </xf>
    <xf numFmtId="0" fontId="31" fillId="7" borderId="22" xfId="0" applyFont="1" applyFill="1" applyBorder="1" applyAlignment="1" applyProtection="1">
      <alignment horizontal="left" vertical="center" wrapText="1"/>
      <protection hidden="1"/>
    </xf>
    <xf numFmtId="0" fontId="31" fillId="7" borderId="25" xfId="0" applyFont="1" applyFill="1" applyBorder="1" applyAlignment="1" applyProtection="1">
      <alignment horizontal="left" vertical="center" wrapText="1"/>
      <protection hidden="1"/>
    </xf>
    <xf numFmtId="0" fontId="58" fillId="4" borderId="0" xfId="0" applyFont="1" applyFill="1" applyAlignment="1" applyProtection="1">
      <alignment horizontal="left" vertical="top" wrapText="1"/>
      <protection hidden="1"/>
    </xf>
    <xf numFmtId="0" fontId="5" fillId="0" borderId="28" xfId="0" applyFont="1" applyBorder="1" applyAlignment="1" applyProtection="1">
      <alignment horizontal="center" vertical="center"/>
      <protection hidden="1"/>
    </xf>
    <xf numFmtId="0" fontId="50" fillId="0" borderId="28" xfId="0" applyFont="1" applyBorder="1" applyAlignment="1" applyProtection="1">
      <alignment horizontal="center" vertical="center" wrapText="1"/>
      <protection hidden="1"/>
    </xf>
    <xf numFmtId="0" fontId="42" fillId="6" borderId="28" xfId="0" applyFont="1" applyFill="1" applyBorder="1" applyAlignment="1" applyProtection="1">
      <alignment horizontal="left" vertical="center" wrapText="1"/>
      <protection hidden="1"/>
    </xf>
    <xf numFmtId="0" fontId="50" fillId="4" borderId="29" xfId="0" applyFont="1" applyFill="1" applyBorder="1" applyAlignment="1" applyProtection="1">
      <alignment horizontal="center" vertical="center" wrapText="1"/>
      <protection hidden="1"/>
    </xf>
    <xf numFmtId="0" fontId="5" fillId="0" borderId="0" xfId="0" applyFont="1" applyProtection="1">
      <protection hidden="1"/>
    </xf>
    <xf numFmtId="0" fontId="5" fillId="4" borderId="0" xfId="0" applyFont="1" applyFill="1" applyProtection="1">
      <protection hidden="1"/>
    </xf>
    <xf numFmtId="0" fontId="62" fillId="4" borderId="0" xfId="0" applyFont="1" applyFill="1" applyProtection="1">
      <protection hidden="1"/>
    </xf>
    <xf numFmtId="0" fontId="46" fillId="4" borderId="0" xfId="5" applyFont="1" applyFill="1" applyAlignment="1" applyProtection="1">
      <alignment horizontal="center" wrapText="1"/>
      <protection hidden="1"/>
    </xf>
    <xf numFmtId="0" fontId="59" fillId="4" borderId="0" xfId="0" applyFont="1" applyFill="1" applyAlignment="1" applyProtection="1">
      <alignment horizontal="center" vertical="center"/>
      <protection hidden="1"/>
    </xf>
    <xf numFmtId="0" fontId="60" fillId="4" borderId="0" xfId="0" applyFont="1" applyFill="1" applyAlignment="1" applyProtection="1">
      <alignment horizontal="left" vertical="top" wrapText="1"/>
      <protection hidden="1"/>
    </xf>
    <xf numFmtId="0" fontId="16" fillId="4" borderId="0" xfId="0" applyFont="1" applyFill="1" applyAlignment="1" applyProtection="1">
      <alignment horizontal="left" vertical="top" wrapText="1"/>
      <protection hidden="1"/>
    </xf>
    <xf numFmtId="0" fontId="50" fillId="4" borderId="0" xfId="0" applyFont="1" applyFill="1" applyAlignment="1" applyProtection="1">
      <alignment horizontal="center" vertical="center" wrapText="1"/>
      <protection hidden="1"/>
    </xf>
    <xf numFmtId="0" fontId="50" fillId="4" borderId="0" xfId="0" applyFont="1" applyFill="1" applyAlignment="1" applyProtection="1">
      <alignment horizontal="left" vertical="top" wrapText="1"/>
      <protection hidden="1"/>
    </xf>
    <xf numFmtId="0" fontId="62" fillId="4" borderId="0" xfId="0" applyFont="1" applyFill="1" applyAlignment="1" applyProtection="1">
      <alignment wrapText="1"/>
      <protection hidden="1"/>
    </xf>
    <xf numFmtId="0" fontId="13" fillId="4" borderId="0" xfId="0" applyFont="1" applyFill="1" applyProtection="1">
      <protection hidden="1"/>
    </xf>
    <xf numFmtId="0" fontId="29" fillId="4" borderId="0" xfId="5" applyFont="1" applyFill="1" applyProtection="1">
      <protection hidden="1"/>
    </xf>
    <xf numFmtId="0" fontId="40" fillId="4" borderId="0" xfId="5" applyFont="1" applyFill="1" applyAlignment="1" applyProtection="1">
      <alignment vertical="top"/>
      <protection hidden="1"/>
    </xf>
    <xf numFmtId="0" fontId="34" fillId="4" borderId="0" xfId="5" applyFont="1" applyFill="1" applyAlignment="1" applyProtection="1">
      <alignment vertical="top"/>
      <protection hidden="1"/>
    </xf>
    <xf numFmtId="0" fontId="34" fillId="7" borderId="0" xfId="5" applyFont="1" applyFill="1" applyAlignment="1" applyProtection="1">
      <alignment horizontal="left" vertical="center"/>
      <protection hidden="1"/>
    </xf>
    <xf numFmtId="0" fontId="29" fillId="0" borderId="28" xfId="5" applyFont="1" applyBorder="1" applyProtection="1">
      <protection hidden="1"/>
    </xf>
    <xf numFmtId="0" fontId="36" fillId="9" borderId="28" xfId="5" applyFont="1" applyFill="1" applyBorder="1" applyAlignment="1" applyProtection="1">
      <alignment horizontal="center" vertical="center" wrapText="1"/>
      <protection hidden="1"/>
    </xf>
    <xf numFmtId="0" fontId="17" fillId="9" borderId="28" xfId="0" applyFont="1" applyFill="1" applyBorder="1" applyAlignment="1" applyProtection="1">
      <alignment horizontal="center" vertical="center" wrapText="1"/>
      <protection hidden="1"/>
    </xf>
    <xf numFmtId="2" fontId="34" fillId="6" borderId="28" xfId="5" applyNumberFormat="1" applyFont="1" applyFill="1" applyBorder="1" applyAlignment="1" applyProtection="1">
      <alignment horizontal="center" vertical="center"/>
      <protection hidden="1"/>
    </xf>
    <xf numFmtId="0" fontId="33" fillId="6" borderId="28" xfId="5" applyFont="1" applyFill="1" applyBorder="1" applyAlignment="1" applyProtection="1">
      <alignment horizontal="center" vertical="center" wrapText="1"/>
      <protection hidden="1"/>
    </xf>
    <xf numFmtId="0" fontId="34" fillId="6" borderId="28" xfId="5" applyFont="1" applyFill="1" applyBorder="1" applyAlignment="1" applyProtection="1">
      <alignment horizontal="center" vertical="center"/>
      <protection hidden="1"/>
    </xf>
    <xf numFmtId="0" fontId="29" fillId="4" borderId="0" xfId="5" applyFont="1" applyFill="1" applyAlignment="1" applyProtection="1">
      <alignment horizontal="center" vertical="center"/>
      <protection hidden="1"/>
    </xf>
    <xf numFmtId="0" fontId="30" fillId="4" borderId="0" xfId="5" applyFont="1" applyFill="1" applyProtection="1">
      <protection hidden="1"/>
    </xf>
    <xf numFmtId="0" fontId="9" fillId="9" borderId="28" xfId="0" applyFont="1" applyFill="1" applyBorder="1" applyAlignment="1" applyProtection="1">
      <alignment horizontal="center" vertical="center" wrapText="1"/>
      <protection hidden="1"/>
    </xf>
    <xf numFmtId="2" fontId="32" fillId="6" borderId="28" xfId="5" applyNumberFormat="1" applyFont="1" applyFill="1" applyBorder="1" applyAlignment="1" applyProtection="1">
      <alignment horizontal="center" vertical="center"/>
      <protection hidden="1"/>
    </xf>
    <xf numFmtId="0" fontId="34" fillId="4" borderId="1" xfId="5" applyFont="1" applyFill="1" applyBorder="1" applyAlignment="1" applyProtection="1">
      <alignment vertical="center"/>
      <protection hidden="1"/>
    </xf>
    <xf numFmtId="2" fontId="29" fillId="4" borderId="0" xfId="5" applyNumberFormat="1" applyFont="1" applyFill="1" applyAlignment="1" applyProtection="1">
      <alignment horizontal="center" vertical="center"/>
      <protection hidden="1"/>
    </xf>
    <xf numFmtId="0" fontId="31" fillId="4" borderId="0" xfId="5" applyFont="1" applyFill="1" applyAlignment="1" applyProtection="1">
      <alignment horizontal="center" vertical="center"/>
      <protection hidden="1"/>
    </xf>
    <xf numFmtId="0" fontId="29" fillId="4" borderId="29" xfId="5" applyFont="1" applyFill="1" applyBorder="1" applyProtection="1">
      <protection hidden="1"/>
    </xf>
    <xf numFmtId="0" fontId="3" fillId="4" borderId="0" xfId="4" applyFont="1" applyFill="1" applyAlignment="1" applyProtection="1">
      <alignment horizontal="center" vertical="center" wrapText="1"/>
      <protection hidden="1"/>
    </xf>
    <xf numFmtId="0" fontId="63" fillId="6" borderId="28" xfId="5" applyFont="1" applyFill="1" applyBorder="1" applyAlignment="1" applyProtection="1">
      <alignment horizontal="center" vertical="center" wrapText="1"/>
      <protection hidden="1"/>
    </xf>
    <xf numFmtId="2" fontId="32" fillId="6" borderId="28" xfId="5" applyNumberFormat="1" applyFont="1" applyFill="1" applyBorder="1" applyAlignment="1" applyProtection="1">
      <alignment horizontal="center" vertical="center" wrapText="1"/>
      <protection hidden="1"/>
    </xf>
    <xf numFmtId="0" fontId="54" fillId="9" borderId="31" xfId="2" applyFont="1" applyFill="1" applyBorder="1" applyAlignment="1" applyProtection="1">
      <alignment vertical="center"/>
      <protection hidden="1"/>
    </xf>
    <xf numFmtId="0" fontId="54" fillId="9" borderId="32" xfId="2" applyFont="1" applyFill="1" applyBorder="1" applyAlignment="1" applyProtection="1">
      <alignment vertical="center"/>
      <protection hidden="1"/>
    </xf>
    <xf numFmtId="0" fontId="54" fillId="9" borderId="30" xfId="2" applyFont="1" applyFill="1" applyBorder="1" applyAlignment="1" applyProtection="1">
      <alignment vertical="center"/>
      <protection hidden="1"/>
    </xf>
    <xf numFmtId="0" fontId="31" fillId="4" borderId="30" xfId="5" applyFont="1" applyFill="1" applyBorder="1" applyAlignment="1" applyProtection="1">
      <alignment horizontal="center" vertical="center"/>
      <protection hidden="1"/>
    </xf>
    <xf numFmtId="0" fontId="12" fillId="0" borderId="30" xfId="0" applyFont="1" applyBorder="1" applyAlignment="1" applyProtection="1">
      <alignment wrapText="1"/>
      <protection hidden="1"/>
    </xf>
    <xf numFmtId="0" fontId="30" fillId="9" borderId="28" xfId="5" applyFont="1" applyFill="1" applyBorder="1" applyAlignment="1" applyProtection="1">
      <alignment horizontal="center" vertical="center" wrapText="1"/>
      <protection hidden="1"/>
    </xf>
    <xf numFmtId="0" fontId="29" fillId="6" borderId="28" xfId="5" applyFont="1" applyFill="1" applyBorder="1" applyAlignment="1" applyProtection="1">
      <alignment horizontal="center" vertical="center" wrapText="1"/>
      <protection hidden="1"/>
    </xf>
    <xf numFmtId="0" fontId="36" fillId="4" borderId="30" xfId="0" applyFont="1" applyFill="1" applyBorder="1" applyAlignment="1" applyProtection="1">
      <alignment horizontal="left" vertical="center" wrapText="1"/>
      <protection hidden="1"/>
    </xf>
    <xf numFmtId="0" fontId="30" fillId="9" borderId="36" xfId="5" applyFont="1" applyFill="1" applyBorder="1" applyAlignment="1" applyProtection="1">
      <alignment horizontal="center" vertical="center" wrapText="1"/>
      <protection hidden="1"/>
    </xf>
    <xf numFmtId="0" fontId="34" fillId="4" borderId="0" xfId="5" applyFont="1" applyFill="1" applyAlignment="1" applyProtection="1">
      <alignment vertical="center" wrapText="1"/>
      <protection hidden="1"/>
    </xf>
    <xf numFmtId="0" fontId="34" fillId="4" borderId="34" xfId="5" applyFont="1" applyFill="1" applyBorder="1" applyAlignment="1" applyProtection="1">
      <alignment vertical="center" wrapText="1"/>
      <protection hidden="1"/>
    </xf>
    <xf numFmtId="1" fontId="31" fillId="4" borderId="28" xfId="0" applyNumberFormat="1" applyFont="1" applyFill="1" applyBorder="1" applyAlignment="1" applyProtection="1">
      <alignment horizontal="center" vertical="center" wrapText="1"/>
      <protection locked="0" hidden="1"/>
    </xf>
    <xf numFmtId="0" fontId="34" fillId="4" borderId="28" xfId="5" applyFont="1" applyFill="1" applyBorder="1" applyAlignment="1" applyProtection="1">
      <alignment horizontal="center" vertical="center" wrapText="1"/>
      <protection locked="0" hidden="1"/>
    </xf>
    <xf numFmtId="2" fontId="34" fillId="4" borderId="28" xfId="5" applyNumberFormat="1" applyFont="1" applyFill="1" applyBorder="1" applyAlignment="1" applyProtection="1">
      <alignment horizontal="center" vertical="center"/>
      <protection locked="0" hidden="1"/>
    </xf>
    <xf numFmtId="166" fontId="34" fillId="4" borderId="28" xfId="5" applyNumberFormat="1" applyFont="1" applyFill="1" applyBorder="1" applyAlignment="1" applyProtection="1">
      <alignment horizontal="center" vertical="center"/>
      <protection locked="0" hidden="1"/>
    </xf>
    <xf numFmtId="164" fontId="34" fillId="4" borderId="28" xfId="5" applyNumberFormat="1" applyFont="1" applyFill="1" applyBorder="1" applyAlignment="1" applyProtection="1">
      <alignment horizontal="center" vertical="center"/>
      <protection locked="0" hidden="1"/>
    </xf>
    <xf numFmtId="0" fontId="41" fillId="4" borderId="0" xfId="4" applyFont="1" applyFill="1" applyAlignment="1" applyProtection="1">
      <alignment horizontal="center" vertical="center"/>
      <protection hidden="1"/>
    </xf>
    <xf numFmtId="0" fontId="52" fillId="4" borderId="0" xfId="0" applyFont="1" applyFill="1" applyAlignment="1" applyProtection="1">
      <alignment horizontal="left" vertical="center"/>
      <protection hidden="1"/>
    </xf>
    <xf numFmtId="0" fontId="45" fillId="4" borderId="0" xfId="5" applyFont="1" applyFill="1" applyProtection="1">
      <protection hidden="1"/>
    </xf>
    <xf numFmtId="0" fontId="13" fillId="9" borderId="28" xfId="0" applyFont="1" applyFill="1" applyBorder="1" applyAlignment="1" applyProtection="1">
      <alignment horizontal="center" vertical="center"/>
      <protection hidden="1"/>
    </xf>
    <xf numFmtId="0" fontId="13" fillId="9" borderId="28" xfId="0" applyFont="1" applyFill="1" applyBorder="1" applyAlignment="1" applyProtection="1">
      <alignment horizontal="center" vertical="center" wrapText="1"/>
      <protection hidden="1"/>
    </xf>
    <xf numFmtId="3" fontId="42" fillId="6" borderId="28" xfId="0" applyNumberFormat="1" applyFont="1" applyFill="1" applyBorder="1" applyAlignment="1" applyProtection="1">
      <alignment horizontal="center" vertical="center"/>
      <protection hidden="1"/>
    </xf>
    <xf numFmtId="0" fontId="26" fillId="4" borderId="0" xfId="1" applyFill="1" applyProtection="1">
      <protection hidden="1"/>
    </xf>
    <xf numFmtId="0" fontId="61" fillId="4" borderId="0" xfId="2" applyFont="1" applyFill="1" applyBorder="1" applyAlignment="1" applyProtection="1">
      <alignment horizontal="center" vertical="center"/>
      <protection locked="0" hidden="1"/>
    </xf>
    <xf numFmtId="0" fontId="12" fillId="4" borderId="0" xfId="0" applyFont="1" applyFill="1" applyProtection="1">
      <protection hidden="1"/>
    </xf>
    <xf numFmtId="0" fontId="51" fillId="4" borderId="0" xfId="4" applyFont="1" applyFill="1" applyAlignment="1" applyProtection="1">
      <alignment horizontal="center" vertical="center"/>
      <protection hidden="1"/>
    </xf>
    <xf numFmtId="0" fontId="74" fillId="4" borderId="0" xfId="0" applyFont="1" applyFill="1" applyAlignment="1" applyProtection="1">
      <alignment horizontal="center" vertical="center"/>
      <protection hidden="1"/>
    </xf>
    <xf numFmtId="0" fontId="0" fillId="4" borderId="0" xfId="0" applyFill="1" applyAlignment="1" applyProtection="1">
      <alignment vertical="top" wrapText="1"/>
      <protection hidden="1"/>
    </xf>
    <xf numFmtId="0" fontId="29" fillId="4" borderId="0" xfId="5" applyFont="1" applyFill="1" applyAlignment="1" applyProtection="1">
      <alignment vertical="center"/>
      <protection hidden="1"/>
    </xf>
    <xf numFmtId="0" fontId="33" fillId="4" borderId="38" xfId="6" applyFont="1" applyFill="1" applyBorder="1" applyAlignment="1" applyProtection="1">
      <alignment vertical="top" wrapText="1"/>
      <protection hidden="1"/>
    </xf>
    <xf numFmtId="0" fontId="31" fillId="4" borderId="0" xfId="0" applyFont="1" applyFill="1" applyAlignment="1" applyProtection="1">
      <alignment horizontal="center" wrapText="1"/>
      <protection hidden="1"/>
    </xf>
    <xf numFmtId="0" fontId="32" fillId="4" borderId="0" xfId="0" applyFont="1" applyFill="1" applyProtection="1">
      <protection hidden="1"/>
    </xf>
    <xf numFmtId="0" fontId="29" fillId="4" borderId="1" xfId="5" applyFont="1" applyFill="1" applyBorder="1" applyProtection="1">
      <protection hidden="1"/>
    </xf>
    <xf numFmtId="0" fontId="33" fillId="4" borderId="0" xfId="5" applyFont="1" applyFill="1" applyProtection="1">
      <protection hidden="1"/>
    </xf>
    <xf numFmtId="0" fontId="5" fillId="4" borderId="0" xfId="0" applyFont="1" applyFill="1" applyAlignment="1" applyProtection="1">
      <alignment horizontal="right"/>
      <protection hidden="1"/>
    </xf>
    <xf numFmtId="0" fontId="31" fillId="9" borderId="31" xfId="0" applyFont="1" applyFill="1" applyBorder="1" applyAlignment="1" applyProtection="1">
      <alignment horizontal="left" vertical="center"/>
      <protection hidden="1"/>
    </xf>
    <xf numFmtId="0" fontId="31" fillId="9" borderId="32" xfId="0" applyFont="1" applyFill="1" applyBorder="1" applyAlignment="1" applyProtection="1">
      <alignment horizontal="left" vertical="center"/>
      <protection hidden="1"/>
    </xf>
    <xf numFmtId="0" fontId="31" fillId="9" borderId="33" xfId="0" applyFont="1" applyFill="1" applyBorder="1" applyAlignment="1" applyProtection="1">
      <alignment horizontal="left" vertical="center"/>
      <protection hidden="1"/>
    </xf>
    <xf numFmtId="0" fontId="75" fillId="4" borderId="0" xfId="0" applyFont="1" applyFill="1" applyAlignment="1" applyProtection="1">
      <alignment vertical="top" wrapText="1"/>
      <protection hidden="1"/>
    </xf>
    <xf numFmtId="0" fontId="0" fillId="4" borderId="0" xfId="0" applyFill="1" applyAlignment="1" applyProtection="1">
      <alignment horizontal="left" vertical="top"/>
      <protection hidden="1"/>
    </xf>
    <xf numFmtId="4" fontId="42" fillId="6" borderId="28" xfId="0" applyNumberFormat="1" applyFont="1" applyFill="1" applyBorder="1" applyAlignment="1" applyProtection="1">
      <alignment horizontal="center" vertical="center"/>
      <protection hidden="1"/>
    </xf>
    <xf numFmtId="0" fontId="2" fillId="4" borderId="0" xfId="0" applyFont="1" applyFill="1" applyAlignment="1" applyProtection="1">
      <alignment horizontal="left" vertical="top" wrapText="1"/>
      <protection hidden="1"/>
    </xf>
    <xf numFmtId="0" fontId="32" fillId="9" borderId="31" xfId="5" applyFont="1" applyFill="1" applyBorder="1" applyAlignment="1" applyProtection="1">
      <alignment vertical="center"/>
      <protection hidden="1"/>
    </xf>
    <xf numFmtId="0" fontId="32" fillId="9" borderId="32" xfId="5" applyFont="1" applyFill="1" applyBorder="1" applyAlignment="1" applyProtection="1">
      <alignment vertical="center"/>
      <protection hidden="1"/>
    </xf>
    <xf numFmtId="0" fontId="32" fillId="9" borderId="33" xfId="5" applyFont="1" applyFill="1" applyBorder="1" applyAlignment="1" applyProtection="1">
      <alignment vertical="center"/>
      <protection hidden="1"/>
    </xf>
    <xf numFmtId="0" fontId="54" fillId="9" borderId="32" xfId="2" applyFont="1" applyFill="1" applyBorder="1" applyAlignment="1" applyProtection="1">
      <alignment vertical="center"/>
      <protection hidden="1"/>
    </xf>
    <xf numFmtId="0" fontId="54" fillId="9" borderId="33" xfId="2" applyFont="1" applyFill="1" applyBorder="1" applyAlignment="1" applyProtection="1">
      <alignment vertical="center"/>
      <protection hidden="1"/>
    </xf>
    <xf numFmtId="0" fontId="34" fillId="9" borderId="31" xfId="5" applyFont="1" applyFill="1" applyBorder="1" applyAlignment="1" applyProtection="1">
      <alignment vertical="center" wrapText="1"/>
      <protection hidden="1"/>
    </xf>
    <xf numFmtId="0" fontId="34" fillId="9" borderId="32" xfId="5" applyFont="1" applyFill="1" applyBorder="1" applyAlignment="1" applyProtection="1">
      <alignment vertical="center" wrapText="1"/>
      <protection hidden="1"/>
    </xf>
    <xf numFmtId="0" fontId="34" fillId="9" borderId="33" xfId="5" applyFont="1" applyFill="1" applyBorder="1" applyAlignment="1" applyProtection="1">
      <alignment vertical="center" wrapText="1"/>
      <protection hidden="1"/>
    </xf>
    <xf numFmtId="2" fontId="34" fillId="6" borderId="31" xfId="5" applyNumberFormat="1" applyFont="1" applyFill="1" applyBorder="1" applyAlignment="1" applyProtection="1">
      <alignment horizontal="left" vertical="center"/>
      <protection hidden="1"/>
    </xf>
    <xf numFmtId="2" fontId="34" fillId="6" borderId="32" xfId="5" applyNumberFormat="1" applyFont="1" applyFill="1" applyBorder="1" applyAlignment="1" applyProtection="1">
      <alignment horizontal="left" vertical="center"/>
      <protection hidden="1"/>
    </xf>
    <xf numFmtId="2" fontId="34" fillId="6" borderId="33" xfId="5" applyNumberFormat="1" applyFont="1" applyFill="1" applyBorder="1" applyAlignment="1" applyProtection="1">
      <alignment horizontal="left" vertical="center"/>
      <protection hidden="1"/>
    </xf>
    <xf numFmtId="0" fontId="31" fillId="6" borderId="31" xfId="5" applyFont="1" applyFill="1" applyBorder="1" applyAlignment="1" applyProtection="1">
      <alignment horizontal="left" vertical="center"/>
      <protection hidden="1"/>
    </xf>
    <xf numFmtId="0" fontId="31" fillId="6" borderId="32" xfId="5" applyFont="1" applyFill="1" applyBorder="1" applyAlignment="1" applyProtection="1">
      <alignment horizontal="left" vertical="center"/>
      <protection hidden="1"/>
    </xf>
    <xf numFmtId="0" fontId="31" fillId="6" borderId="33" xfId="5" applyFont="1" applyFill="1" applyBorder="1" applyAlignment="1" applyProtection="1">
      <alignment horizontal="left" vertical="center"/>
      <protection hidden="1"/>
    </xf>
    <xf numFmtId="0" fontId="36" fillId="6" borderId="28" xfId="5" applyFont="1" applyFill="1" applyBorder="1" applyAlignment="1" applyProtection="1">
      <alignment horizontal="left" vertical="center"/>
      <protection hidden="1"/>
    </xf>
    <xf numFmtId="0" fontId="7" fillId="9" borderId="31" xfId="5" applyFont="1" applyFill="1" applyBorder="1" applyAlignment="1" applyProtection="1">
      <alignment vertical="center"/>
      <protection hidden="1"/>
    </xf>
    <xf numFmtId="0" fontId="7" fillId="9" borderId="33" xfId="5" applyFont="1" applyFill="1" applyBorder="1" applyAlignment="1" applyProtection="1">
      <alignment vertical="center"/>
      <protection hidden="1"/>
    </xf>
    <xf numFmtId="0" fontId="57" fillId="9" borderId="31" xfId="0" applyFont="1" applyFill="1" applyBorder="1" applyAlignment="1" applyProtection="1">
      <alignment horizontal="center" wrapText="1"/>
      <protection hidden="1"/>
    </xf>
    <xf numFmtId="0" fontId="57" fillId="9" borderId="32" xfId="0" applyFont="1" applyFill="1" applyBorder="1" applyAlignment="1" applyProtection="1">
      <alignment horizontal="center" wrapText="1"/>
      <protection hidden="1"/>
    </xf>
    <xf numFmtId="0" fontId="57" fillId="9" borderId="33" xfId="0" applyFont="1" applyFill="1" applyBorder="1" applyAlignment="1" applyProtection="1">
      <alignment horizontal="center" wrapText="1"/>
      <protection hidden="1"/>
    </xf>
    <xf numFmtId="0" fontId="7" fillId="9" borderId="31" xfId="0" applyFont="1" applyFill="1" applyBorder="1" applyAlignment="1" applyProtection="1">
      <alignment horizontal="center"/>
      <protection hidden="1"/>
    </xf>
    <xf numFmtId="0" fontId="7" fillId="9" borderId="32" xfId="0" applyFont="1" applyFill="1" applyBorder="1" applyAlignment="1" applyProtection="1">
      <alignment horizontal="center"/>
      <protection hidden="1"/>
    </xf>
    <xf numFmtId="0" fontId="7" fillId="9" borderId="33" xfId="0" applyFont="1" applyFill="1" applyBorder="1" applyAlignment="1" applyProtection="1">
      <alignment horizontal="center"/>
      <protection hidden="1"/>
    </xf>
    <xf numFmtId="0" fontId="7" fillId="9" borderId="31" xfId="0" applyFont="1" applyFill="1" applyBorder="1" applyAlignment="1" applyProtection="1">
      <alignment vertical="center"/>
      <protection hidden="1"/>
    </xf>
    <xf numFmtId="0" fontId="7" fillId="9" borderId="33" xfId="0" applyFont="1" applyFill="1" applyBorder="1" applyAlignment="1" applyProtection="1">
      <alignment vertical="center"/>
      <protection hidden="1"/>
    </xf>
    <xf numFmtId="0" fontId="7" fillId="6" borderId="28" xfId="0" applyFont="1" applyFill="1" applyBorder="1" applyAlignment="1" applyProtection="1">
      <alignment horizontal="left" vertical="center"/>
      <protection hidden="1"/>
    </xf>
    <xf numFmtId="0" fontId="7" fillId="9" borderId="28" xfId="5" applyFont="1" applyFill="1" applyBorder="1" applyAlignment="1" applyProtection="1">
      <alignment horizontal="center"/>
      <protection hidden="1"/>
    </xf>
    <xf numFmtId="0" fontId="36" fillId="6" borderId="28" xfId="5" applyFont="1" applyFill="1" applyBorder="1" applyAlignment="1" applyProtection="1">
      <alignment horizontal="left" vertical="center" wrapText="1"/>
      <protection hidden="1"/>
    </xf>
    <xf numFmtId="0" fontId="34" fillId="6" borderId="28" xfId="5" applyFont="1" applyFill="1" applyBorder="1" applyAlignment="1" applyProtection="1">
      <alignment horizontal="left" vertical="center"/>
      <protection hidden="1"/>
    </xf>
    <xf numFmtId="0" fontId="31" fillId="9" borderId="33" xfId="5" applyFont="1" applyFill="1" applyBorder="1" applyAlignment="1" applyProtection="1">
      <alignment vertical="center"/>
      <protection hidden="1"/>
    </xf>
    <xf numFmtId="0" fontId="31" fillId="9" borderId="31" xfId="5" applyFont="1" applyFill="1" applyBorder="1" applyAlignment="1" applyProtection="1">
      <alignment vertical="center"/>
      <protection hidden="1"/>
    </xf>
    <xf numFmtId="166" fontId="34" fillId="6" borderId="31" xfId="5" applyNumberFormat="1" applyFont="1" applyFill="1" applyBorder="1" applyAlignment="1" applyProtection="1">
      <alignment horizontal="left" vertical="center"/>
      <protection hidden="1"/>
    </xf>
    <xf numFmtId="166" fontId="34" fillId="6" borderId="32" xfId="5" applyNumberFormat="1" applyFont="1" applyFill="1" applyBorder="1" applyAlignment="1" applyProtection="1">
      <alignment horizontal="left" vertical="center"/>
      <protection hidden="1"/>
    </xf>
    <xf numFmtId="166" fontId="34" fillId="6" borderId="33" xfId="5" applyNumberFormat="1" applyFont="1" applyFill="1" applyBorder="1" applyAlignment="1" applyProtection="1">
      <alignment horizontal="left" vertical="center"/>
      <protection hidden="1"/>
    </xf>
    <xf numFmtId="164" fontId="34" fillId="6" borderId="31" xfId="5" applyNumberFormat="1" applyFont="1" applyFill="1" applyBorder="1" applyAlignment="1" applyProtection="1">
      <alignment horizontal="left" vertical="center"/>
      <protection hidden="1"/>
    </xf>
    <xf numFmtId="164" fontId="34" fillId="6" borderId="32" xfId="5" applyNumberFormat="1" applyFont="1" applyFill="1" applyBorder="1" applyAlignment="1" applyProtection="1">
      <alignment horizontal="left" vertical="center"/>
      <protection hidden="1"/>
    </xf>
    <xf numFmtId="164" fontId="34" fillId="6" borderId="33" xfId="5" applyNumberFormat="1" applyFont="1" applyFill="1" applyBorder="1" applyAlignment="1" applyProtection="1">
      <alignment horizontal="left" vertical="center"/>
      <protection hidden="1"/>
    </xf>
    <xf numFmtId="0" fontId="7" fillId="9" borderId="31" xfId="5" applyFont="1" applyFill="1" applyBorder="1" applyAlignment="1" applyProtection="1">
      <alignment vertical="center" wrapText="1"/>
      <protection hidden="1"/>
    </xf>
    <xf numFmtId="0" fontId="7" fillId="9" borderId="33" xfId="5" applyFont="1" applyFill="1" applyBorder="1" applyAlignment="1" applyProtection="1">
      <alignment vertical="center" wrapText="1"/>
      <protection hidden="1"/>
    </xf>
    <xf numFmtId="0" fontId="7" fillId="9" borderId="31" xfId="5" applyFont="1" applyFill="1" applyBorder="1" applyAlignment="1" applyProtection="1">
      <alignment horizontal="left" vertical="center" wrapText="1"/>
      <protection hidden="1"/>
    </xf>
    <xf numFmtId="0" fontId="7" fillId="9" borderId="33" xfId="5" applyFont="1" applyFill="1" applyBorder="1" applyAlignment="1" applyProtection="1">
      <alignment horizontal="left" vertical="center" wrapText="1"/>
      <protection hidden="1"/>
    </xf>
    <xf numFmtId="0" fontId="55" fillId="7" borderId="28" xfId="0" applyFont="1" applyFill="1" applyBorder="1" applyAlignment="1" applyProtection="1">
      <alignment horizontal="center" vertical="center" wrapText="1"/>
      <protection hidden="1"/>
    </xf>
    <xf numFmtId="0" fontId="36" fillId="9" borderId="31" xfId="5" applyFont="1" applyFill="1" applyBorder="1" applyAlignment="1" applyProtection="1">
      <alignment horizontal="left" vertical="center"/>
      <protection hidden="1"/>
    </xf>
    <xf numFmtId="0" fontId="36" fillId="9" borderId="33" xfId="5" applyFont="1" applyFill="1" applyBorder="1" applyAlignment="1" applyProtection="1">
      <alignment horizontal="left" vertical="center"/>
      <protection hidden="1"/>
    </xf>
    <xf numFmtId="0" fontId="36" fillId="9" borderId="31" xfId="5" applyFont="1" applyFill="1" applyBorder="1" applyAlignment="1" applyProtection="1">
      <alignment vertical="center"/>
      <protection hidden="1"/>
    </xf>
    <xf numFmtId="0" fontId="36" fillId="9" borderId="33" xfId="5" applyFont="1" applyFill="1" applyBorder="1" applyAlignment="1" applyProtection="1">
      <alignment vertical="center"/>
      <protection hidden="1"/>
    </xf>
    <xf numFmtId="0" fontId="29" fillId="6" borderId="34" xfId="5" applyFont="1" applyFill="1" applyBorder="1" applyAlignment="1" applyProtection="1">
      <alignment horizontal="center" vertical="center"/>
      <protection hidden="1"/>
    </xf>
    <xf numFmtId="0" fontId="29" fillId="6" borderId="30" xfId="5" applyFont="1" applyFill="1" applyBorder="1" applyAlignment="1" applyProtection="1">
      <alignment horizontal="center" vertical="center"/>
      <protection hidden="1"/>
    </xf>
    <xf numFmtId="0" fontId="29" fillId="6" borderId="33" xfId="5" applyFont="1" applyFill="1" applyBorder="1" applyAlignment="1" applyProtection="1">
      <alignment horizontal="center" vertical="center"/>
      <protection hidden="1"/>
    </xf>
    <xf numFmtId="0" fontId="12" fillId="4" borderId="0" xfId="0" applyFont="1" applyFill="1" applyAlignment="1" applyProtection="1">
      <alignment horizontal="left" vertical="center" wrapText="1"/>
      <protection hidden="1"/>
    </xf>
    <xf numFmtId="0" fontId="0" fillId="4" borderId="0" xfId="0" applyFill="1" applyAlignment="1" applyProtection="1">
      <alignment horizontal="left" vertical="center"/>
      <protection hidden="1"/>
    </xf>
    <xf numFmtId="0" fontId="34" fillId="9" borderId="28" xfId="5" applyFont="1" applyFill="1" applyBorder="1" applyAlignment="1" applyProtection="1">
      <alignment horizontal="left" vertical="center" wrapText="1"/>
      <protection hidden="1"/>
    </xf>
    <xf numFmtId="0" fontId="63" fillId="9" borderId="28" xfId="5" applyFont="1" applyFill="1" applyBorder="1" applyAlignment="1" applyProtection="1">
      <alignment horizontal="left" vertical="center" wrapText="1"/>
      <protection hidden="1"/>
    </xf>
    <xf numFmtId="1" fontId="31" fillId="6" borderId="28" xfId="0" applyNumberFormat="1" applyFont="1" applyFill="1" applyBorder="1" applyAlignment="1" applyProtection="1">
      <alignment horizontal="left" vertical="center" wrapText="1"/>
      <protection hidden="1"/>
    </xf>
    <xf numFmtId="0" fontId="34" fillId="6" borderId="28" xfId="5" applyFont="1" applyFill="1" applyBorder="1" applyAlignment="1" applyProtection="1">
      <alignment horizontal="left" vertical="center" wrapText="1"/>
      <protection hidden="1"/>
    </xf>
    <xf numFmtId="0" fontId="36" fillId="9" borderId="31" xfId="0" applyFont="1" applyFill="1" applyBorder="1" applyAlignment="1" applyProtection="1">
      <alignment horizontal="left" vertical="center" wrapText="1"/>
      <protection hidden="1"/>
    </xf>
    <xf numFmtId="0" fontId="36" fillId="9" borderId="32" xfId="0" applyFont="1" applyFill="1" applyBorder="1" applyAlignment="1" applyProtection="1">
      <alignment horizontal="left" vertical="center" wrapText="1"/>
      <protection hidden="1"/>
    </xf>
    <xf numFmtId="0" fontId="36" fillId="9" borderId="33" xfId="0" applyFont="1" applyFill="1" applyBorder="1" applyAlignment="1" applyProtection="1">
      <alignment horizontal="left" vertical="center" wrapText="1"/>
      <protection hidden="1"/>
    </xf>
    <xf numFmtId="0" fontId="53" fillId="4" borderId="0" xfId="6" applyFont="1" applyFill="1" applyAlignment="1" applyProtection="1">
      <alignment vertical="top" wrapText="1"/>
      <protection hidden="1"/>
    </xf>
    <xf numFmtId="0" fontId="31" fillId="9" borderId="35" xfId="5" applyFont="1" applyFill="1" applyBorder="1" applyAlignment="1" applyProtection="1">
      <alignment vertical="center" wrapText="1"/>
      <protection hidden="1"/>
    </xf>
    <xf numFmtId="0" fontId="31" fillId="9" borderId="29" xfId="5" applyFont="1" applyFill="1" applyBorder="1" applyAlignment="1" applyProtection="1">
      <alignment vertical="center" wrapText="1"/>
      <protection hidden="1"/>
    </xf>
    <xf numFmtId="0" fontId="63" fillId="6" borderId="31" xfId="5" applyFont="1" applyFill="1" applyBorder="1" applyAlignment="1" applyProtection="1">
      <alignment horizontal="center" vertical="center" wrapText="1"/>
      <protection hidden="1"/>
    </xf>
    <xf numFmtId="0" fontId="63" fillId="6" borderId="33" xfId="5" applyFont="1" applyFill="1" applyBorder="1" applyAlignment="1" applyProtection="1">
      <alignment horizontal="center" vertical="center" wrapText="1"/>
      <protection hidden="1"/>
    </xf>
    <xf numFmtId="0" fontId="31" fillId="9" borderId="35" xfId="0" applyFont="1" applyFill="1" applyBorder="1" applyAlignment="1" applyProtection="1">
      <alignment horizontal="left" vertical="center" wrapText="1"/>
      <protection hidden="1"/>
    </xf>
    <xf numFmtId="0" fontId="57" fillId="9" borderId="41" xfId="0" applyFont="1" applyFill="1" applyBorder="1" applyAlignment="1" applyProtection="1">
      <alignment horizontal="left" vertical="center" wrapText="1"/>
      <protection hidden="1"/>
    </xf>
    <xf numFmtId="0" fontId="57" fillId="9" borderId="42" xfId="0" applyFont="1" applyFill="1" applyBorder="1" applyAlignment="1" applyProtection="1">
      <alignment horizontal="left" vertical="center" wrapText="1"/>
      <protection hidden="1"/>
    </xf>
    <xf numFmtId="0" fontId="57" fillId="9" borderId="43" xfId="0" applyFont="1" applyFill="1" applyBorder="1" applyAlignment="1" applyProtection="1">
      <alignment horizontal="left" vertical="center" wrapText="1"/>
      <protection hidden="1"/>
    </xf>
    <xf numFmtId="0" fontId="57" fillId="9" borderId="34" xfId="0" applyFont="1" applyFill="1" applyBorder="1" applyAlignment="1" applyProtection="1">
      <alignment horizontal="left" vertical="center" wrapText="1"/>
      <protection hidden="1"/>
    </xf>
    <xf numFmtId="0" fontId="57" fillId="9" borderId="44" xfId="0" applyFont="1" applyFill="1" applyBorder="1" applyAlignment="1" applyProtection="1">
      <alignment horizontal="left" vertical="center" wrapText="1"/>
      <protection hidden="1"/>
    </xf>
    <xf numFmtId="0" fontId="36" fillId="9" borderId="28" xfId="0" applyFont="1" applyFill="1" applyBorder="1" applyAlignment="1" applyProtection="1">
      <alignment horizontal="left" vertical="center"/>
      <protection hidden="1"/>
    </xf>
    <xf numFmtId="0" fontId="31" fillId="6" borderId="28" xfId="5" applyFont="1" applyFill="1" applyBorder="1" applyAlignment="1" applyProtection="1">
      <alignment horizontal="left" vertical="center"/>
      <protection hidden="1"/>
    </xf>
    <xf numFmtId="0" fontId="31" fillId="9" borderId="33" xfId="5" applyFont="1" applyFill="1" applyBorder="1" applyAlignment="1" applyProtection="1">
      <alignment horizontal="left" vertical="center" wrapText="1"/>
      <protection hidden="1"/>
    </xf>
    <xf numFmtId="0" fontId="33" fillId="9" borderId="28" xfId="5" applyFont="1" applyFill="1" applyBorder="1" applyAlignment="1" applyProtection="1">
      <alignment horizontal="left" vertical="center" wrapText="1"/>
      <protection hidden="1"/>
    </xf>
    <xf numFmtId="0" fontId="49" fillId="9" borderId="28" xfId="5" applyFont="1" applyFill="1" applyBorder="1" applyAlignment="1" applyProtection="1">
      <alignment horizontal="left" vertical="center" wrapText="1"/>
      <protection hidden="1"/>
    </xf>
    <xf numFmtId="0" fontId="57" fillId="4" borderId="0" xfId="0" applyFont="1" applyFill="1" applyAlignment="1" applyProtection="1">
      <alignment horizontal="center" vertical="center"/>
      <protection hidden="1"/>
    </xf>
    <xf numFmtId="0" fontId="42" fillId="4" borderId="0" xfId="0" applyFont="1" applyFill="1" applyAlignment="1" applyProtection="1">
      <alignment horizontal="left" vertical="top" wrapText="1"/>
      <protection hidden="1"/>
    </xf>
    <xf numFmtId="0" fontId="42" fillId="4" borderId="0" xfId="0" applyFont="1" applyFill="1" applyAlignment="1" applyProtection="1">
      <alignment vertical="top" wrapText="1"/>
      <protection hidden="1"/>
    </xf>
    <xf numFmtId="0" fontId="0" fillId="4" borderId="0" xfId="0" applyFill="1" applyAlignment="1" applyProtection="1">
      <alignment horizontal="center"/>
      <protection hidden="1"/>
    </xf>
    <xf numFmtId="0" fontId="28" fillId="4" borderId="0" xfId="4" applyFont="1" applyFill="1" applyAlignment="1" applyProtection="1">
      <alignment horizontal="left" vertical="top" wrapText="1"/>
      <protection hidden="1"/>
    </xf>
    <xf numFmtId="0" fontId="31" fillId="9" borderId="31" xfId="0" applyFont="1" applyFill="1" applyBorder="1" applyAlignment="1" applyProtection="1">
      <alignment horizontal="left" vertical="center"/>
      <protection hidden="1"/>
    </xf>
    <xf numFmtId="0" fontId="31" fillId="9" borderId="32" xfId="0" applyFont="1" applyFill="1" applyBorder="1" applyAlignment="1" applyProtection="1">
      <alignment horizontal="left" vertical="center"/>
      <protection hidden="1"/>
    </xf>
    <xf numFmtId="0" fontId="31" fillId="9" borderId="33" xfId="0" applyFont="1" applyFill="1" applyBorder="1" applyAlignment="1" applyProtection="1">
      <alignment horizontal="left" vertical="center"/>
      <protection hidden="1"/>
    </xf>
    <xf numFmtId="0" fontId="29" fillId="4" borderId="0" xfId="0" applyFont="1" applyFill="1" applyAlignment="1" applyProtection="1">
      <alignment horizontal="center"/>
      <protection hidden="1"/>
    </xf>
    <xf numFmtId="0" fontId="42" fillId="4" borderId="0" xfId="0" applyFont="1" applyFill="1" applyAlignment="1" applyProtection="1">
      <alignment horizontal="center"/>
      <protection hidden="1"/>
    </xf>
    <xf numFmtId="0" fontId="13" fillId="9" borderId="28" xfId="0" applyFont="1" applyFill="1" applyBorder="1" applyAlignment="1" applyProtection="1">
      <alignment horizontal="center" vertical="center"/>
      <protection hidden="1"/>
    </xf>
    <xf numFmtId="0" fontId="31" fillId="9" borderId="28" xfId="0" applyFont="1" applyFill="1" applyBorder="1" applyAlignment="1" applyProtection="1">
      <alignment horizontal="left" vertical="center"/>
      <protection hidden="1"/>
    </xf>
    <xf numFmtId="0" fontId="42" fillId="4" borderId="30" xfId="0" applyFont="1" applyFill="1" applyBorder="1" applyAlignment="1" applyProtection="1">
      <alignment horizontal="center" vertical="top"/>
      <protection hidden="1"/>
    </xf>
    <xf numFmtId="0" fontId="69" fillId="4" borderId="0" xfId="4" applyFont="1" applyFill="1" applyAlignment="1" applyProtection="1">
      <alignment horizontal="center" vertical="center"/>
      <protection hidden="1"/>
    </xf>
    <xf numFmtId="0" fontId="70" fillId="4" borderId="0" xfId="4" applyFont="1" applyFill="1" applyAlignment="1" applyProtection="1">
      <alignment horizontal="center" vertical="center"/>
      <protection hidden="1"/>
    </xf>
    <xf numFmtId="0" fontId="3" fillId="4" borderId="0" xfId="4" applyFont="1" applyFill="1" applyAlignment="1" applyProtection="1">
      <alignment horizontal="center" vertical="center" wrapText="1"/>
      <protection hidden="1"/>
    </xf>
    <xf numFmtId="0" fontId="73" fillId="4" borderId="0" xfId="4" applyFont="1" applyFill="1" applyAlignment="1" applyProtection="1">
      <alignment horizontal="center" vertical="center" wrapText="1"/>
      <protection hidden="1"/>
    </xf>
    <xf numFmtId="0" fontId="12" fillId="4" borderId="0" xfId="0" applyFont="1" applyFill="1" applyAlignment="1" applyProtection="1">
      <alignment horizontal="center"/>
      <protection hidden="1"/>
    </xf>
    <xf numFmtId="0" fontId="0" fillId="0" borderId="0" xfId="0" applyAlignment="1">
      <alignment horizontal="center" vertical="center" wrapText="1"/>
    </xf>
    <xf numFmtId="0" fontId="13" fillId="9" borderId="39" xfId="0" applyFont="1" applyFill="1" applyBorder="1" applyAlignment="1" applyProtection="1">
      <alignment horizontal="center" vertical="center"/>
      <protection hidden="1"/>
    </xf>
    <xf numFmtId="0" fontId="13" fillId="9" borderId="40" xfId="0" applyFont="1" applyFill="1" applyBorder="1" applyAlignment="1" applyProtection="1">
      <alignment horizontal="center" vertical="center"/>
      <protection hidden="1"/>
    </xf>
    <xf numFmtId="0" fontId="13" fillId="9" borderId="36" xfId="0" applyFont="1" applyFill="1" applyBorder="1" applyAlignment="1" applyProtection="1">
      <alignment horizontal="center" vertical="center"/>
      <protection hidden="1"/>
    </xf>
    <xf numFmtId="0" fontId="12" fillId="4" borderId="0" xfId="0" applyFont="1" applyFill="1" applyAlignment="1" applyProtection="1">
      <alignment horizontal="center" vertical="center"/>
      <protection hidden="1"/>
    </xf>
    <xf numFmtId="0" fontId="41" fillId="4" borderId="4" xfId="4" applyFont="1" applyFill="1" applyBorder="1" applyAlignment="1" applyProtection="1">
      <alignment vertical="center" wrapText="1"/>
      <protection hidden="1"/>
    </xf>
    <xf numFmtId="0" fontId="41" fillId="4" borderId="18" xfId="4" applyFont="1" applyFill="1" applyBorder="1" applyAlignment="1" applyProtection="1">
      <alignment vertical="center" wrapText="1"/>
      <protection hidden="1"/>
    </xf>
    <xf numFmtId="0" fontId="41" fillId="4" borderId="19" xfId="4" applyFont="1" applyFill="1" applyBorder="1" applyAlignment="1" applyProtection="1">
      <alignment vertical="center" wrapText="1"/>
      <protection hidden="1"/>
    </xf>
    <xf numFmtId="0" fontId="41" fillId="8" borderId="7" xfId="4" applyFont="1" applyFill="1" applyBorder="1" applyAlignment="1" applyProtection="1">
      <alignment horizontal="left" vertical="center" wrapText="1"/>
      <protection hidden="1"/>
    </xf>
    <xf numFmtId="0" fontId="0" fillId="8" borderId="2"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6" fillId="0" borderId="0" xfId="0" applyFont="1" applyAlignment="1">
      <alignment horizontal="center" vertical="center"/>
    </xf>
    <xf numFmtId="0" fontId="41" fillId="8" borderId="8" xfId="4" applyFont="1" applyFill="1" applyBorder="1" applyAlignment="1" applyProtection="1">
      <alignment horizontal="left" vertical="center" wrapText="1"/>
      <protection hidden="1"/>
    </xf>
    <xf numFmtId="0" fontId="0" fillId="8" borderId="9" xfId="0" applyFill="1" applyBorder="1" applyAlignment="1" applyProtection="1">
      <alignment vertical="center" wrapText="1"/>
      <protection hidden="1"/>
    </xf>
    <xf numFmtId="0" fontId="0" fillId="8" borderId="27" xfId="0" applyFill="1" applyBorder="1" applyAlignment="1" applyProtection="1">
      <alignment vertical="center" wrapText="1"/>
      <protection hidden="1"/>
    </xf>
    <xf numFmtId="0" fontId="41" fillId="8" borderId="2" xfId="4" applyFont="1" applyFill="1" applyBorder="1" applyAlignment="1" applyProtection="1">
      <alignment horizontal="left" vertical="center" wrapText="1"/>
      <protection hidden="1"/>
    </xf>
    <xf numFmtId="0" fontId="41" fillId="8" borderId="4" xfId="4" applyFont="1" applyFill="1" applyBorder="1" applyAlignment="1" applyProtection="1">
      <alignment horizontal="left" vertical="center" wrapText="1"/>
      <protection hidden="1"/>
    </xf>
    <xf numFmtId="0" fontId="41" fillId="8" borderId="37" xfId="4" applyFont="1" applyFill="1" applyBorder="1" applyAlignment="1" applyProtection="1">
      <alignment horizontal="left" vertical="center" wrapText="1"/>
      <protection hidden="1"/>
    </xf>
    <xf numFmtId="0" fontId="41" fillId="8" borderId="18" xfId="4" applyFont="1" applyFill="1" applyBorder="1" applyAlignment="1" applyProtection="1">
      <alignment horizontal="left" vertical="center" wrapText="1"/>
      <protection hidden="1"/>
    </xf>
    <xf numFmtId="0" fontId="41" fillId="4" borderId="2" xfId="4" applyFont="1" applyFill="1" applyBorder="1" applyAlignment="1" applyProtection="1">
      <alignment vertical="center" wrapText="1"/>
      <protection hidden="1"/>
    </xf>
    <xf numFmtId="0" fontId="16" fillId="4" borderId="2" xfId="0" applyFont="1" applyFill="1" applyBorder="1" applyAlignment="1" applyProtection="1">
      <alignment vertical="center"/>
      <protection hidden="1"/>
    </xf>
    <xf numFmtId="0" fontId="39" fillId="4" borderId="2" xfId="0" applyFont="1" applyFill="1" applyBorder="1" applyAlignment="1" applyProtection="1">
      <alignment horizontal="left" vertical="center" wrapText="1"/>
      <protection hidden="1"/>
    </xf>
    <xf numFmtId="0" fontId="16" fillId="4" borderId="2" xfId="0" applyFont="1" applyFill="1" applyBorder="1" applyAlignment="1" applyProtection="1">
      <alignment horizontal="left" vertical="center"/>
      <protection hidden="1"/>
    </xf>
  </cellXfs>
  <cellStyles count="7">
    <cellStyle name="Good" xfId="1" builtinId="26"/>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_verific2" xfId="6" xr:uid="{00000000-0005-0000-0000-000006000000}"/>
  </cellStyles>
  <dxfs count="10">
    <dxf>
      <font>
        <color theme="1"/>
      </font>
      <fill>
        <patternFill>
          <bgColor theme="9"/>
        </patternFill>
      </fill>
    </dxf>
    <dxf>
      <font>
        <color theme="1"/>
      </font>
      <fill>
        <patternFill>
          <bgColor theme="9"/>
        </patternFill>
      </fill>
    </dxf>
    <dxf>
      <font>
        <color theme="1"/>
      </font>
      <fill>
        <patternFill>
          <bgColor theme="9"/>
        </patternFill>
      </fill>
    </dxf>
    <dxf>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3" Type="http://schemas.openxmlformats.org/officeDocument/2006/relationships/hyperlink" Target="#'EERS data entry methods 2 3'!A1"/><Relationship Id="rId2" Type="http://schemas.openxmlformats.org/officeDocument/2006/relationships/hyperlink" Target="#'EERS data entry method 1'!A1"/><Relationship Id="rId1" Type="http://schemas.openxmlformats.org/officeDocument/2006/relationships/hyperlink" Target="#'Facility input'!A1"/><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Menu!A1"/><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Menu!A1"/><Relationship Id="rId5" Type="http://schemas.openxmlformats.org/officeDocument/2006/relationships/image" Target="../media/image5.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cid:image005.jpg@01CB71E0.D8ACFE20" TargetMode="External"/><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3716302</xdr:colOff>
      <xdr:row>3</xdr:row>
      <xdr:rowOff>182237</xdr:rowOff>
    </xdr:from>
    <xdr:to>
      <xdr:col>1</xdr:col>
      <xdr:colOff>5600134</xdr:colOff>
      <xdr:row>3</xdr:row>
      <xdr:rowOff>460197</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4030627" y="7278362"/>
          <a:ext cx="1883832" cy="27796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twoCellAnchor editAs="oneCell">
    <xdr:from>
      <xdr:col>0</xdr:col>
      <xdr:colOff>200025</xdr:colOff>
      <xdr:row>0</xdr:row>
      <xdr:rowOff>66675</xdr:rowOff>
    </xdr:from>
    <xdr:to>
      <xdr:col>1</xdr:col>
      <xdr:colOff>9686925</xdr:colOff>
      <xdr:row>0</xdr:row>
      <xdr:rowOff>1438275</xdr:rowOff>
    </xdr:to>
    <xdr:pic>
      <xdr:nvPicPr>
        <xdr:cNvPr id="10" name="Picture 1">
          <a:extLst>
            <a:ext uri="{FF2B5EF4-FFF2-40B4-BE49-F238E27FC236}">
              <a16:creationId xmlns:a16="http://schemas.microsoft.com/office/drawing/2014/main" id="{CEBA411E-9359-5A5A-C17B-182440348A96}"/>
            </a:ext>
            <a:ext uri="{147F2762-F138-4A5C-976F-8EAC2B608ADB}">
              <a16:predDERef xmlns:a16="http://schemas.microsoft.com/office/drawing/2014/main" pred="{00000000-0008-0000-0000-000005000000}"/>
            </a:ext>
          </a:extLst>
        </xdr:cNvPr>
        <xdr:cNvPicPr>
          <a:picLocks noChangeAspect="1"/>
        </xdr:cNvPicPr>
      </xdr:nvPicPr>
      <xdr:blipFill>
        <a:blip xmlns:r="http://schemas.openxmlformats.org/officeDocument/2006/relationships" r:embed="rId2"/>
        <a:stretch>
          <a:fillRect/>
        </a:stretch>
      </xdr:blipFill>
      <xdr:spPr>
        <a:xfrm>
          <a:off x="200025" y="66675"/>
          <a:ext cx="9791700"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76701</xdr:colOff>
      <xdr:row>4</xdr:row>
      <xdr:rowOff>18548</xdr:rowOff>
    </xdr:from>
    <xdr:to>
      <xdr:col>1</xdr:col>
      <xdr:colOff>2658478</xdr:colOff>
      <xdr:row>4</xdr:row>
      <xdr:rowOff>361449</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000626" y="2942723"/>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data</a:t>
          </a:r>
        </a:p>
      </xdr:txBody>
    </xdr:sp>
    <xdr:clientData/>
  </xdr:twoCellAnchor>
  <xdr:twoCellAnchor>
    <xdr:from>
      <xdr:col>1</xdr:col>
      <xdr:colOff>77202</xdr:colOff>
      <xdr:row>5</xdr:row>
      <xdr:rowOff>19050</xdr:rowOff>
    </xdr:from>
    <xdr:to>
      <xdr:col>1</xdr:col>
      <xdr:colOff>2658979</xdr:colOff>
      <xdr:row>5</xdr:row>
      <xdr:rowOff>361951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01127" y="332422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6</xdr:row>
      <xdr:rowOff>23562</xdr:rowOff>
    </xdr:from>
    <xdr:to>
      <xdr:col>1</xdr:col>
      <xdr:colOff>2658978</xdr:colOff>
      <xdr:row>6</xdr:row>
      <xdr:rowOff>366463</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001127" y="3709737"/>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819150</xdr:colOff>
      <xdr:row>0</xdr:row>
      <xdr:rowOff>0</xdr:rowOff>
    </xdr:from>
    <xdr:to>
      <xdr:col>2</xdr:col>
      <xdr:colOff>4762500</xdr:colOff>
      <xdr:row>0</xdr:row>
      <xdr:rowOff>1209675</xdr:rowOff>
    </xdr:to>
    <xdr:pic>
      <xdr:nvPicPr>
        <xdr:cNvPr id="10" name="Picture 1">
          <a:extLst>
            <a:ext uri="{FF2B5EF4-FFF2-40B4-BE49-F238E27FC236}">
              <a16:creationId xmlns:a16="http://schemas.microsoft.com/office/drawing/2014/main" id="{9FAD4BF5-95FC-436D-8C39-D725E0582D8C}"/>
            </a:ext>
            <a:ext uri="{147F2762-F138-4A5C-976F-8EAC2B608ADB}">
              <a16:predDERef xmlns:a16="http://schemas.microsoft.com/office/drawing/2014/main" pred="{00000000-0008-0000-0100-000007000000}"/>
            </a:ext>
          </a:extLst>
        </xdr:cNvPr>
        <xdr:cNvPicPr>
          <a:picLocks noChangeAspect="1"/>
        </xdr:cNvPicPr>
      </xdr:nvPicPr>
      <xdr:blipFill>
        <a:blip xmlns:r="http://schemas.openxmlformats.org/officeDocument/2006/relationships" r:embed="rId4"/>
        <a:stretch>
          <a:fillRect/>
        </a:stretch>
      </xdr:blipFill>
      <xdr:spPr>
        <a:xfrm>
          <a:off x="819150" y="0"/>
          <a:ext cx="7600950" cy="1209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63500</xdr:rowOff>
    </xdr:from>
    <xdr:to>
      <xdr:col>1</xdr:col>
      <xdr:colOff>1174751</xdr:colOff>
      <xdr:row>3</xdr:row>
      <xdr:rowOff>30692</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317500" y="1301750"/>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53</xdr:row>
      <xdr:rowOff>116416</xdr:rowOff>
    </xdr:from>
    <xdr:to>
      <xdr:col>1</xdr:col>
      <xdr:colOff>1270001</xdr:colOff>
      <xdr:row>53</xdr:row>
      <xdr:rowOff>464608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95250" y="16785166"/>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1</xdr:col>
      <xdr:colOff>19050</xdr:colOff>
      <xdr:row>0</xdr:row>
      <xdr:rowOff>0</xdr:rowOff>
    </xdr:from>
    <xdr:to>
      <xdr:col>2</xdr:col>
      <xdr:colOff>3187700</xdr:colOff>
      <xdr:row>2</xdr:row>
      <xdr:rowOff>19050</xdr:rowOff>
    </xdr:to>
    <xdr:pic>
      <xdr:nvPicPr>
        <xdr:cNvPr id="10" name="Picture 1">
          <a:extLst>
            <a:ext uri="{FF2B5EF4-FFF2-40B4-BE49-F238E27FC236}">
              <a16:creationId xmlns:a16="http://schemas.microsoft.com/office/drawing/2014/main" id="{80BF4CD1-A886-4111-9D3F-B2922D0E54AF}"/>
            </a:ext>
            <a:ext uri="{147F2762-F138-4A5C-976F-8EAC2B608ADB}">
              <a16:predDERef xmlns:a16="http://schemas.microsoft.com/office/drawing/2014/main" pre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0"/>
          <a:ext cx="7705725"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634999</xdr:colOff>
      <xdr:row>0</xdr:row>
      <xdr:rowOff>1322916</xdr:rowOff>
    </xdr:from>
    <xdr:to>
      <xdr:col>2</xdr:col>
      <xdr:colOff>516467</xdr:colOff>
      <xdr:row>0</xdr:row>
      <xdr:rowOff>1675342</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634999" y="1322916"/>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70</xdr:row>
      <xdr:rowOff>0</xdr:rowOff>
    </xdr:from>
    <xdr:to>
      <xdr:col>2</xdr:col>
      <xdr:colOff>527051</xdr:colOff>
      <xdr:row>70</xdr:row>
      <xdr:rowOff>352426</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a:off x="645583" y="18785417"/>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457200</xdr:colOff>
      <xdr:row>0</xdr:row>
      <xdr:rowOff>0</xdr:rowOff>
    </xdr:from>
    <xdr:to>
      <xdr:col>14</xdr:col>
      <xdr:colOff>590550</xdr:colOff>
      <xdr:row>0</xdr:row>
      <xdr:rowOff>1285875</xdr:rowOff>
    </xdr:to>
    <xdr:pic>
      <xdr:nvPicPr>
        <xdr:cNvPr id="8" name="Picture 1">
          <a:extLst>
            <a:ext uri="{FF2B5EF4-FFF2-40B4-BE49-F238E27FC236}">
              <a16:creationId xmlns:a16="http://schemas.microsoft.com/office/drawing/2014/main" id="{4B46098C-B378-4871-89E8-7E6CD694FE2E}"/>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
        <a:stretch>
          <a:fillRect/>
        </a:stretch>
      </xdr:blipFill>
      <xdr:spPr>
        <a:xfrm>
          <a:off x="457200" y="0"/>
          <a:ext cx="9210675" cy="1285875"/>
        </a:xfrm>
        <a:prstGeom prst="rect">
          <a:avLst/>
        </a:prstGeom>
      </xdr:spPr>
    </xdr:pic>
    <xdr:clientData/>
  </xdr:twoCellAnchor>
  <xdr:twoCellAnchor editAs="oneCell">
    <xdr:from>
      <xdr:col>1</xdr:col>
      <xdr:colOff>1</xdr:colOff>
      <xdr:row>5</xdr:row>
      <xdr:rowOff>191558</xdr:rowOff>
    </xdr:from>
    <xdr:to>
      <xdr:col>14</xdr:col>
      <xdr:colOff>590551</xdr:colOff>
      <xdr:row>26</xdr:row>
      <xdr:rowOff>87067</xdr:rowOff>
    </xdr:to>
    <xdr:pic>
      <xdr:nvPicPr>
        <xdr:cNvPr id="2" name="Picture 1">
          <a:extLst>
            <a:ext uri="{FF2B5EF4-FFF2-40B4-BE49-F238E27FC236}">
              <a16:creationId xmlns:a16="http://schemas.microsoft.com/office/drawing/2014/main" id="{0512F69A-4597-AE72-4624-DD8159BD5AFB}"/>
            </a:ext>
          </a:extLst>
        </xdr:cNvPr>
        <xdr:cNvPicPr>
          <a:picLocks noChangeAspect="1"/>
        </xdr:cNvPicPr>
      </xdr:nvPicPr>
      <xdr:blipFill>
        <a:blip xmlns:r="http://schemas.openxmlformats.org/officeDocument/2006/relationships" r:embed="rId3"/>
        <a:stretch>
          <a:fillRect/>
        </a:stretch>
      </xdr:blipFill>
      <xdr:spPr>
        <a:xfrm>
          <a:off x="685801" y="2934758"/>
          <a:ext cx="9505950" cy="3419759"/>
        </a:xfrm>
        <a:prstGeom prst="rect">
          <a:avLst/>
        </a:prstGeom>
        <a:ln w="3175">
          <a:noFill/>
        </a:ln>
      </xdr:spPr>
    </xdr:pic>
    <xdr:clientData/>
  </xdr:twoCellAnchor>
  <xdr:twoCellAnchor editAs="oneCell">
    <xdr:from>
      <xdr:col>1</xdr:col>
      <xdr:colOff>76200</xdr:colOff>
      <xdr:row>28</xdr:row>
      <xdr:rowOff>57149</xdr:rowOff>
    </xdr:from>
    <xdr:to>
      <xdr:col>14</xdr:col>
      <xdr:colOff>603248</xdr:colOff>
      <xdr:row>34</xdr:row>
      <xdr:rowOff>238735</xdr:rowOff>
    </xdr:to>
    <xdr:pic>
      <xdr:nvPicPr>
        <xdr:cNvPr id="4" name="Picture 3">
          <a:extLst>
            <a:ext uri="{FF2B5EF4-FFF2-40B4-BE49-F238E27FC236}">
              <a16:creationId xmlns:a16="http://schemas.microsoft.com/office/drawing/2014/main" id="{A685BCDB-8560-759D-07FB-D24697F50FEC}"/>
            </a:ext>
          </a:extLst>
        </xdr:cNvPr>
        <xdr:cNvPicPr>
          <a:picLocks noChangeAspect="1"/>
        </xdr:cNvPicPr>
      </xdr:nvPicPr>
      <xdr:blipFill>
        <a:blip xmlns:r="http://schemas.openxmlformats.org/officeDocument/2006/relationships" r:embed="rId4"/>
        <a:stretch>
          <a:fillRect/>
        </a:stretch>
      </xdr:blipFill>
      <xdr:spPr>
        <a:xfrm>
          <a:off x="762000" y="6667499"/>
          <a:ext cx="9439273" cy="1207111"/>
        </a:xfrm>
        <a:prstGeom prst="rect">
          <a:avLst/>
        </a:prstGeom>
        <a:ln w="3175">
          <a:noFill/>
        </a:ln>
      </xdr:spPr>
    </xdr:pic>
    <xdr:clientData/>
  </xdr:twoCellAnchor>
  <xdr:twoCellAnchor editAs="oneCell">
    <xdr:from>
      <xdr:col>0</xdr:col>
      <xdr:colOff>673100</xdr:colOff>
      <xdr:row>60</xdr:row>
      <xdr:rowOff>38716</xdr:rowOff>
    </xdr:from>
    <xdr:to>
      <xdr:col>14</xdr:col>
      <xdr:colOff>800100</xdr:colOff>
      <xdr:row>66</xdr:row>
      <xdr:rowOff>73025</xdr:rowOff>
    </xdr:to>
    <xdr:pic>
      <xdr:nvPicPr>
        <xdr:cNvPr id="5" name="Picture 4">
          <a:extLst>
            <a:ext uri="{FF2B5EF4-FFF2-40B4-BE49-F238E27FC236}">
              <a16:creationId xmlns:a16="http://schemas.microsoft.com/office/drawing/2014/main" id="{B631E499-6CE8-F006-82FD-FFC2A4584E6F}"/>
            </a:ext>
          </a:extLst>
        </xdr:cNvPr>
        <xdr:cNvPicPr>
          <a:picLocks noChangeAspect="1"/>
        </xdr:cNvPicPr>
      </xdr:nvPicPr>
      <xdr:blipFill>
        <a:blip xmlns:r="http://schemas.openxmlformats.org/officeDocument/2006/relationships" r:embed="rId5"/>
        <a:stretch>
          <a:fillRect/>
        </a:stretch>
      </xdr:blipFill>
      <xdr:spPr>
        <a:xfrm>
          <a:off x="673100" y="16040716"/>
          <a:ext cx="9728200" cy="2320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527051</xdr:colOff>
      <xdr:row>1</xdr:row>
      <xdr:rowOff>352426</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645583" y="155575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75</xdr:row>
      <xdr:rowOff>0</xdr:rowOff>
    </xdr:from>
    <xdr:to>
      <xdr:col>2</xdr:col>
      <xdr:colOff>527051</xdr:colOff>
      <xdr:row>75</xdr:row>
      <xdr:rowOff>352426</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645583" y="2032000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542925</xdr:colOff>
      <xdr:row>0</xdr:row>
      <xdr:rowOff>0</xdr:rowOff>
    </xdr:from>
    <xdr:to>
      <xdr:col>14</xdr:col>
      <xdr:colOff>800100</xdr:colOff>
      <xdr:row>0</xdr:row>
      <xdr:rowOff>1301750</xdr:rowOff>
    </xdr:to>
    <xdr:pic>
      <xdr:nvPicPr>
        <xdr:cNvPr id="10" name="Picture 1">
          <a:extLst>
            <a:ext uri="{FF2B5EF4-FFF2-40B4-BE49-F238E27FC236}">
              <a16:creationId xmlns:a16="http://schemas.microsoft.com/office/drawing/2014/main" id="{B843BA46-2E80-463E-B778-474F1813ED6F}"/>
            </a:ext>
            <a:ext uri="{147F2762-F138-4A5C-976F-8EAC2B608ADB}">
              <a16:predDERef xmlns:a16="http://schemas.microsoft.com/office/drawing/2014/main" pred="{00000000-0008-0000-0400-000007000000}"/>
            </a:ext>
          </a:extLst>
        </xdr:cNvPr>
        <xdr:cNvPicPr>
          <a:picLocks noChangeAspect="1"/>
        </xdr:cNvPicPr>
      </xdr:nvPicPr>
      <xdr:blipFill>
        <a:blip xmlns:r="http://schemas.openxmlformats.org/officeDocument/2006/relationships" r:embed="rId2"/>
        <a:stretch>
          <a:fillRect/>
        </a:stretch>
      </xdr:blipFill>
      <xdr:spPr>
        <a:xfrm>
          <a:off x="542925" y="0"/>
          <a:ext cx="9324975" cy="1304925"/>
        </a:xfrm>
        <a:prstGeom prst="rect">
          <a:avLst/>
        </a:prstGeom>
      </xdr:spPr>
    </xdr:pic>
    <xdr:clientData/>
  </xdr:twoCellAnchor>
  <xdr:twoCellAnchor editAs="oneCell">
    <xdr:from>
      <xdr:col>1</xdr:col>
      <xdr:colOff>29633</xdr:colOff>
      <xdr:row>7</xdr:row>
      <xdr:rowOff>131233</xdr:rowOff>
    </xdr:from>
    <xdr:to>
      <xdr:col>14</xdr:col>
      <xdr:colOff>617008</xdr:colOff>
      <xdr:row>29</xdr:row>
      <xdr:rowOff>17217</xdr:rowOff>
    </xdr:to>
    <xdr:pic>
      <xdr:nvPicPr>
        <xdr:cNvPr id="2" name="Picture 1">
          <a:extLst>
            <a:ext uri="{FF2B5EF4-FFF2-40B4-BE49-F238E27FC236}">
              <a16:creationId xmlns:a16="http://schemas.microsoft.com/office/drawing/2014/main" id="{0AE8E570-46B0-4394-B76D-278FD63705B3}"/>
            </a:ext>
          </a:extLst>
        </xdr:cNvPr>
        <xdr:cNvPicPr>
          <a:picLocks noChangeAspect="1"/>
        </xdr:cNvPicPr>
      </xdr:nvPicPr>
      <xdr:blipFill>
        <a:blip xmlns:r="http://schemas.openxmlformats.org/officeDocument/2006/relationships" r:embed="rId3"/>
        <a:stretch>
          <a:fillRect/>
        </a:stretch>
      </xdr:blipFill>
      <xdr:spPr>
        <a:xfrm>
          <a:off x="715433" y="3407833"/>
          <a:ext cx="9505950" cy="3419759"/>
        </a:xfrm>
        <a:prstGeom prst="rect">
          <a:avLst/>
        </a:prstGeom>
        <a:ln w="3175">
          <a:noFill/>
        </a:ln>
      </xdr:spPr>
    </xdr:pic>
    <xdr:clientData/>
  </xdr:twoCellAnchor>
  <xdr:twoCellAnchor editAs="oneCell">
    <xdr:from>
      <xdr:col>1</xdr:col>
      <xdr:colOff>93133</xdr:colOff>
      <xdr:row>31</xdr:row>
      <xdr:rowOff>28575</xdr:rowOff>
    </xdr:from>
    <xdr:to>
      <xdr:col>14</xdr:col>
      <xdr:colOff>617006</xdr:colOff>
      <xdr:row>38</xdr:row>
      <xdr:rowOff>105386</xdr:rowOff>
    </xdr:to>
    <xdr:pic>
      <xdr:nvPicPr>
        <xdr:cNvPr id="3" name="Picture 2">
          <a:extLst>
            <a:ext uri="{FF2B5EF4-FFF2-40B4-BE49-F238E27FC236}">
              <a16:creationId xmlns:a16="http://schemas.microsoft.com/office/drawing/2014/main" id="{6AF596B4-26B9-47CF-A5B9-4A85E54515AC}"/>
            </a:ext>
          </a:extLst>
        </xdr:cNvPr>
        <xdr:cNvPicPr>
          <a:picLocks noChangeAspect="1"/>
        </xdr:cNvPicPr>
      </xdr:nvPicPr>
      <xdr:blipFill>
        <a:blip xmlns:r="http://schemas.openxmlformats.org/officeDocument/2006/relationships" r:embed="rId4"/>
        <a:stretch>
          <a:fillRect/>
        </a:stretch>
      </xdr:blipFill>
      <xdr:spPr>
        <a:xfrm>
          <a:off x="778933" y="7210425"/>
          <a:ext cx="9442448" cy="1207111"/>
        </a:xfrm>
        <a:prstGeom prst="rect">
          <a:avLst/>
        </a:prstGeom>
        <a:ln w="3175">
          <a:noFill/>
        </a:ln>
      </xdr:spPr>
    </xdr:pic>
    <xdr:clientData/>
  </xdr:twoCellAnchor>
  <xdr:twoCellAnchor editAs="oneCell">
    <xdr:from>
      <xdr:col>1</xdr:col>
      <xdr:colOff>9525</xdr:colOff>
      <xdr:row>65</xdr:row>
      <xdr:rowOff>74083</xdr:rowOff>
    </xdr:from>
    <xdr:to>
      <xdr:col>14</xdr:col>
      <xdr:colOff>704851</xdr:colOff>
      <xdr:row>71</xdr:row>
      <xdr:rowOff>245533</xdr:rowOff>
    </xdr:to>
    <xdr:pic>
      <xdr:nvPicPr>
        <xdr:cNvPr id="4" name="Picture 3">
          <a:extLst>
            <a:ext uri="{FF2B5EF4-FFF2-40B4-BE49-F238E27FC236}">
              <a16:creationId xmlns:a16="http://schemas.microsoft.com/office/drawing/2014/main" id="{CAE4CD95-E3CD-0444-140C-702F61CC28C5}"/>
            </a:ext>
          </a:extLst>
        </xdr:cNvPr>
        <xdr:cNvPicPr>
          <a:picLocks noChangeAspect="1"/>
        </xdr:cNvPicPr>
      </xdr:nvPicPr>
      <xdr:blipFill>
        <a:blip xmlns:r="http://schemas.openxmlformats.org/officeDocument/2006/relationships" r:embed="rId5"/>
        <a:stretch>
          <a:fillRect/>
        </a:stretch>
      </xdr:blipFill>
      <xdr:spPr>
        <a:xfrm>
          <a:off x="695325" y="17476258"/>
          <a:ext cx="9610726" cy="236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3531870</xdr:colOff>
      <xdr:row>5</xdr:row>
      <xdr:rowOff>821055</xdr:rowOff>
    </xdr:from>
    <xdr:to>
      <xdr:col>1</xdr:col>
      <xdr:colOff>4198621</xdr:colOff>
      <xdr:row>5</xdr:row>
      <xdr:rowOff>1064223</xdr:rowOff>
    </xdr:to>
    <xdr:pic>
      <xdr:nvPicPr>
        <xdr:cNvPr id="2" name="Picture 34" descr="Creative Commons Attribution Lice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41470" y="5145405"/>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0</xdr:row>
      <xdr:rowOff>161925</xdr:rowOff>
    </xdr:from>
    <xdr:to>
      <xdr:col>1</xdr:col>
      <xdr:colOff>9039225</xdr:colOff>
      <xdr:row>0</xdr:row>
      <xdr:rowOff>1447800</xdr:rowOff>
    </xdr:to>
    <xdr:pic>
      <xdr:nvPicPr>
        <xdr:cNvPr id="7" name="Picture 2">
          <a:extLst>
            <a:ext uri="{FF2B5EF4-FFF2-40B4-BE49-F238E27FC236}">
              <a16:creationId xmlns:a16="http://schemas.microsoft.com/office/drawing/2014/main" id="{9621D43E-AF47-451B-A5A3-E62A061BC5CA}"/>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3"/>
        <a:stretch>
          <a:fillRect/>
        </a:stretch>
      </xdr:blipFill>
      <xdr:spPr>
        <a:xfrm>
          <a:off x="438150" y="161925"/>
          <a:ext cx="9210675" cy="1285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bs.gov.au/ausstats/abs@.NSF/0/FFAC68D07DC6B1CACA25711F00146E7E?opendocument" TargetMode="External"/><Relationship Id="rId3" Type="http://schemas.openxmlformats.org/officeDocument/2006/relationships/hyperlink" Target="http://www.abs.gov.au/AUSSTATS/abs@.nsf/0/6D95F1BAC4277050CA25711F00146E56?opendocument" TargetMode="External"/><Relationship Id="rId7" Type="http://schemas.openxmlformats.org/officeDocument/2006/relationships/hyperlink" Target="http://www.abs.gov.au/ausstats/abs@.nsf/Product+Lookup/2328A9232E1D6C9CCA25711F00146E95?opendocument" TargetMode="External"/><Relationship Id="rId2" Type="http://schemas.openxmlformats.org/officeDocument/2006/relationships/hyperlink" Target="http://www.abs.gov.au/ausstats/abs@.NSF/0/1BCB3B0A36DDC051CA25711F00146E60?opendocument" TargetMode="External"/><Relationship Id="rId1" Type="http://schemas.openxmlformats.org/officeDocument/2006/relationships/hyperlink" Target="http://www.abs.gov.au/AUSSTATS/abs@.nsf/0/36019F16878FD77CCA25711F00146EC1?opendocument" TargetMode="External"/><Relationship Id="rId6" Type="http://schemas.openxmlformats.org/officeDocument/2006/relationships/hyperlink" Target="http://www.abs.gov.au/ausstats/abs@.nsf/Product+Lookup/34D4C30005F692C7CA25711F00146E91?opendocument" TargetMode="External"/><Relationship Id="rId5" Type="http://schemas.openxmlformats.org/officeDocument/2006/relationships/hyperlink" Target="http://www.abs.gov.au/AUSSTATS/abs@.nsf/0/50C5DD75A6223C61CA25711F00146E89?opendocument" TargetMode="External"/><Relationship Id="rId4" Type="http://schemas.openxmlformats.org/officeDocument/2006/relationships/hyperlink" Target="http://www.abs.gov.au/ausstats/abs@.NSF/0/9148F27F324E911BCA25711F00146E35?opendocument"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C7"/>
  <sheetViews>
    <sheetView showRowColHeaders="0" tabSelected="1" zoomScaleNormal="100" workbookViewId="0"/>
  </sheetViews>
  <sheetFormatPr defaultColWidth="0" defaultRowHeight="13.2" zeroHeight="1" x14ac:dyDescent="0.25"/>
  <cols>
    <col min="1" max="1" width="4.5546875" style="103" customWidth="1"/>
    <col min="2" max="2" width="150.88671875" style="103" customWidth="1"/>
    <col min="3" max="3" width="4.109375" style="103" hidden="1" customWidth="1"/>
    <col min="4" max="16384" width="9.109375" style="10" hidden="1"/>
  </cols>
  <sheetData>
    <row r="1" spans="2:2" ht="147.75" customHeight="1" x14ac:dyDescent="0.3">
      <c r="B1" s="185" t="s">
        <v>188</v>
      </c>
    </row>
    <row r="2" spans="2:2" ht="1.5" customHeight="1" x14ac:dyDescent="0.25">
      <c r="B2" s="118"/>
    </row>
    <row r="3" spans="2:2" ht="374.4" x14ac:dyDescent="0.25">
      <c r="B3" s="193" t="s">
        <v>195</v>
      </c>
    </row>
    <row r="4" spans="2:2" ht="45" customHeight="1" x14ac:dyDescent="0.25">
      <c r="B4" s="194" t="s">
        <v>196</v>
      </c>
    </row>
    <row r="5" spans="2:2" x14ac:dyDescent="0.25"/>
    <row r="6" spans="2:2" x14ac:dyDescent="0.25"/>
    <row r="7" spans="2:2" x14ac:dyDescent="0.25"/>
  </sheetData>
  <sheetProtection algorithmName="SHA-256" hashValue="nQr/EQ2NlzsSXXWos+UY4KmH9ihpDiVo+cgHmMAFrLQ=" saltValue="C89RcYRGMrJOKBYpDGYl7g==" spinCount="100000" sheet="1" selectLockedCells="1" selectUnlockedCells="1"/>
  <pageMargins left="0.70866141732283472" right="0.70866141732283472" top="0.74803149606299213" bottom="0.74803149606299213" header="0.31496062992125984" footer="0.31496062992125984"/>
  <pageSetup paperSize="9" scale="89" orientation="landscape" r:id="rId1"/>
  <headerFooter>
    <oddHeader>&amp;LNGER wastewater (Industrial) calculator 1.5 Sheet: 1&amp;R&amp;A</oddHeader>
    <oddFooter>&amp;L© Commonwealth of Australia (2014) Clean Energy Regulator.&amp;RISBN: 978-1-921299-80-3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D18"/>
  <sheetViews>
    <sheetView showGridLines="0" showRowColHeaders="0" workbookViewId="0"/>
  </sheetViews>
  <sheetFormatPr defaultColWidth="0" defaultRowHeight="13.2" zeroHeight="1" x14ac:dyDescent="0.25"/>
  <cols>
    <col min="1" max="1" width="13.88671875" style="10" customWidth="1"/>
    <col min="2" max="2" width="41" style="10" customWidth="1"/>
    <col min="3" max="3" width="74.5546875" style="10" customWidth="1"/>
    <col min="4" max="4" width="13.44140625" style="10" customWidth="1"/>
    <col min="5" max="16384" width="9.109375" hidden="1"/>
  </cols>
  <sheetData>
    <row r="1" spans="1:4" ht="104.25" customHeight="1" x14ac:dyDescent="0.25">
      <c r="A1" s="103"/>
      <c r="B1" s="274"/>
      <c r="C1" s="274"/>
      <c r="D1" s="103"/>
    </row>
    <row r="2" spans="1:4" ht="15" x14ac:dyDescent="0.25">
      <c r="A2" s="103"/>
      <c r="B2" s="271" t="s">
        <v>190</v>
      </c>
      <c r="C2" s="271"/>
      <c r="D2" s="103"/>
    </row>
    <row r="3" spans="1:4" x14ac:dyDescent="0.25">
      <c r="A3" s="103"/>
      <c r="B3" s="103"/>
      <c r="C3" s="103"/>
      <c r="D3" s="103"/>
    </row>
    <row r="4" spans="1:4" ht="30.15" customHeight="1" x14ac:dyDescent="0.25">
      <c r="B4" s="119" t="s">
        <v>189</v>
      </c>
      <c r="D4" s="103"/>
    </row>
    <row r="5" spans="1:4" ht="30.15" customHeight="1" x14ac:dyDescent="0.25">
      <c r="A5" s="128"/>
      <c r="B5" s="120"/>
      <c r="C5" s="121" t="s">
        <v>0</v>
      </c>
      <c r="D5" s="127" t="str">
        <f>IF('Facility input'!D47&gt;0,"Done","")</f>
        <v/>
      </c>
    </row>
    <row r="6" spans="1:4" ht="30.15" customHeight="1" x14ac:dyDescent="0.25">
      <c r="A6" s="128"/>
      <c r="B6" s="120"/>
      <c r="C6" s="121" t="s">
        <v>1</v>
      </c>
      <c r="D6" s="178" t="str">
        <f>IF(AND(D5="Done",'Facility input'!D7=1),"View","")</f>
        <v/>
      </c>
    </row>
    <row r="7" spans="1:4" ht="30.15" customHeight="1" x14ac:dyDescent="0.25">
      <c r="A7" s="129"/>
      <c r="B7" s="120"/>
      <c r="C7" s="121" t="s">
        <v>2</v>
      </c>
      <c r="D7" s="178" t="str">
        <f>IF(AND(D5="Done",'Facility input'!D7&gt;1),"View","")</f>
        <v/>
      </c>
    </row>
    <row r="8" spans="1:4" ht="30.15" customHeight="1" x14ac:dyDescent="0.25">
      <c r="A8" s="129"/>
      <c r="B8" s="130"/>
      <c r="C8" s="122"/>
      <c r="D8" s="103"/>
    </row>
    <row r="9" spans="1:4" ht="82.5" customHeight="1" x14ac:dyDescent="0.25">
      <c r="A9" s="131"/>
      <c r="B9" s="272" t="s">
        <v>3</v>
      </c>
      <c r="C9" s="272"/>
      <c r="D9" s="103"/>
    </row>
    <row r="10" spans="1:4" ht="14.25" customHeight="1" x14ac:dyDescent="0.25">
      <c r="A10" s="124"/>
      <c r="B10" s="273"/>
      <c r="C10" s="273"/>
      <c r="D10" s="124"/>
    </row>
    <row r="11" spans="1:4" ht="88.5" customHeight="1" x14ac:dyDescent="0.25">
      <c r="A11" s="124"/>
      <c r="B11" s="132"/>
      <c r="C11" s="132"/>
      <c r="D11" s="124"/>
    </row>
    <row r="12" spans="1:4" ht="98.4" customHeight="1" x14ac:dyDescent="0.25">
      <c r="A12" s="133"/>
      <c r="B12" s="124"/>
      <c r="C12" s="124"/>
      <c r="D12" s="103"/>
    </row>
    <row r="13" spans="1:4" hidden="1" x14ac:dyDescent="0.25">
      <c r="A13" s="124"/>
      <c r="B13" s="103"/>
      <c r="C13" s="103"/>
      <c r="D13" s="103"/>
    </row>
    <row r="14" spans="1:4" hidden="1" x14ac:dyDescent="0.25">
      <c r="A14" s="124"/>
      <c r="B14" s="125"/>
      <c r="C14" s="125"/>
      <c r="D14" s="103"/>
    </row>
    <row r="15" spans="1:4" ht="15.6" hidden="1" x14ac:dyDescent="0.3">
      <c r="A15" s="124"/>
      <c r="B15" s="126"/>
      <c r="C15" s="126"/>
      <c r="D15" s="103"/>
    </row>
    <row r="16" spans="1:4" hidden="1" x14ac:dyDescent="0.25">
      <c r="A16" s="133"/>
      <c r="B16" s="124"/>
      <c r="C16" s="124"/>
      <c r="D16" s="103"/>
    </row>
    <row r="17" spans="1:4" hidden="1" x14ac:dyDescent="0.25">
      <c r="A17" s="123"/>
      <c r="D17" s="106"/>
    </row>
    <row r="18" spans="1:4" hidden="1" x14ac:dyDescent="0.25">
      <c r="A18" s="123"/>
      <c r="D18" s="106"/>
    </row>
  </sheetData>
  <sheetProtection algorithmName="SHA-256" hashValue="b8JL0x2rONia8E3fmxHXYp380hnb2YO4kkUBLhDzVxg=" saltValue="jOnaNa1cfkiCdmJGjQykMw==" spinCount="100000" sheet="1" objects="1" scenarios="1" selectLockedCells="1" selectUnlockedCells="1"/>
  <mergeCells count="4">
    <mergeCell ref="B2:C2"/>
    <mergeCell ref="B9:C9"/>
    <mergeCell ref="B10:C10"/>
    <mergeCell ref="B1:C1"/>
  </mergeCells>
  <hyperlinks>
    <hyperlink ref="D6" location="'EERS data entry method 1'!A1" display="'EERS data entry method 1'!A1" xr:uid="{00000000-0004-0000-0100-000000000000}"/>
    <hyperlink ref="D7" location="'EERS data entry methods 2 &amp;3'!A1" display="'EERS data entry methods 2 &amp;3'!A1"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FC67"/>
  <sheetViews>
    <sheetView showRowColHeaders="0" zoomScaleNormal="100" workbookViewId="0">
      <selection activeCell="D6" sqref="D6"/>
    </sheetView>
  </sheetViews>
  <sheetFormatPr defaultColWidth="0" defaultRowHeight="15.6" zeroHeight="1" x14ac:dyDescent="0.3"/>
  <cols>
    <col min="1" max="1" width="4.88671875" style="134" customWidth="1"/>
    <col min="2" max="2" width="69.109375" style="2" customWidth="1"/>
    <col min="3" max="3" width="48.109375" style="42" customWidth="1"/>
    <col min="4" max="5" width="30.88671875" style="42" customWidth="1"/>
    <col min="6" max="6" width="33.109375" style="42" bestFit="1" customWidth="1"/>
    <col min="7" max="7" width="30.88671875" style="2" customWidth="1"/>
    <col min="8" max="8" width="54.88671875" style="2" hidden="1"/>
    <col min="9" max="9" width="10.88671875" style="7" hidden="1"/>
    <col min="10" max="10" width="9.109375" style="10" hidden="1"/>
    <col min="11" max="11" width="5.44140625" style="134" hidden="1"/>
    <col min="12" max="12" width="10.88671875" style="7" hidden="1"/>
    <col min="13" max="16" width="9.109375" style="10" hidden="1"/>
    <col min="17" max="18" width="9.109375" style="2" hidden="1"/>
    <col min="19" max="19" width="9.44140625" style="2" hidden="1"/>
    <col min="20" max="16383" width="9.109375" style="2" hidden="1"/>
    <col min="16384" max="16384" width="8.109375" style="2" hidden="1"/>
  </cols>
  <sheetData>
    <row r="1" spans="1:17" s="103" customFormat="1" ht="90" customHeight="1" x14ac:dyDescent="0.25">
      <c r="B1" s="184"/>
      <c r="C1" s="246"/>
      <c r="D1" s="247"/>
      <c r="E1" s="247"/>
      <c r="F1" s="247"/>
    </row>
    <row r="2" spans="1:17" s="134" customFormat="1" ht="7.5" customHeight="1" x14ac:dyDescent="0.3">
      <c r="B2" s="255"/>
      <c r="C2" s="255"/>
      <c r="D2" s="255"/>
      <c r="E2" s="255"/>
      <c r="F2" s="255"/>
      <c r="G2" s="135"/>
      <c r="H2" s="135"/>
      <c r="I2" s="136"/>
      <c r="J2" s="103"/>
      <c r="K2" s="135"/>
      <c r="L2" s="136"/>
      <c r="M2" s="103"/>
      <c r="N2" s="103"/>
      <c r="O2" s="103"/>
      <c r="P2" s="103"/>
    </row>
    <row r="3" spans="1:17" ht="30.15" customHeight="1" x14ac:dyDescent="0.3">
      <c r="B3" s="134"/>
      <c r="C3" s="144"/>
      <c r="D3" s="144"/>
      <c r="E3" s="144"/>
      <c r="F3" s="144"/>
      <c r="G3" s="134"/>
      <c r="H3" s="134"/>
    </row>
    <row r="4" spans="1:17" ht="6.75" customHeight="1" x14ac:dyDescent="0.3">
      <c r="B4" s="134"/>
      <c r="C4" s="144"/>
      <c r="D4" s="144"/>
      <c r="E4" s="144"/>
      <c r="F4" s="144"/>
      <c r="G4" s="145"/>
      <c r="H4" s="134"/>
    </row>
    <row r="5" spans="1:17" s="104" customFormat="1" ht="30.15" customHeight="1" thickBot="1" x14ac:dyDescent="0.3">
      <c r="A5" s="183"/>
      <c r="B5" s="252" t="s">
        <v>4</v>
      </c>
      <c r="C5" s="253"/>
      <c r="D5" s="254"/>
      <c r="E5" s="162"/>
      <c r="F5" s="162"/>
      <c r="G5" s="162"/>
      <c r="I5" s="105"/>
      <c r="J5" s="106"/>
      <c r="K5" s="183"/>
      <c r="L5" s="105"/>
      <c r="M5" s="106"/>
      <c r="N5" s="106"/>
      <c r="O5" s="106"/>
      <c r="P5" s="106"/>
    </row>
    <row r="6" spans="1:17" ht="30.15" customHeight="1" x14ac:dyDescent="0.3">
      <c r="B6" s="249" t="s">
        <v>5</v>
      </c>
      <c r="C6" s="249"/>
      <c r="D6" s="166"/>
      <c r="E6" s="250" t="str">
        <f>IF(H6=InpReq,"Enter reporting period year ending (e.g. for 2025–2026 enter 2026)",IF(D6&lt;2026,"Incorrect reporting period selected",""))</f>
        <v>Enter reporting period year ending (e.g. for 2025–2026 enter 2026)</v>
      </c>
      <c r="F6" s="250"/>
      <c r="G6" s="250"/>
      <c r="H6" s="116" t="str">
        <f>IF(D6="",InpReq,"")</f>
        <v>&lt;==== Input required</v>
      </c>
    </row>
    <row r="7" spans="1:17" ht="30.15" customHeight="1" x14ac:dyDescent="0.3">
      <c r="B7" s="248" t="s">
        <v>6</v>
      </c>
      <c r="C7" s="248"/>
      <c r="D7" s="167">
        <v>1</v>
      </c>
      <c r="E7" s="251" t="str">
        <f>IF(H7=Seldrop,"Please select reporting method","")</f>
        <v/>
      </c>
      <c r="F7" s="251"/>
      <c r="G7" s="251"/>
      <c r="H7" s="114" t="str">
        <f>IF(D7="",Seldrop,"")</f>
        <v/>
      </c>
    </row>
    <row r="8" spans="1:17" ht="30.15" customHeight="1" x14ac:dyDescent="0.3">
      <c r="B8" s="238" t="s">
        <v>7</v>
      </c>
      <c r="C8" s="238"/>
      <c r="D8" s="238"/>
      <c r="E8" s="238"/>
      <c r="F8" s="238"/>
      <c r="G8" s="138"/>
      <c r="K8" s="186"/>
      <c r="P8" s="11"/>
    </row>
    <row r="9" spans="1:17" ht="30.15" customHeight="1" x14ac:dyDescent="0.3">
      <c r="G9" s="138"/>
    </row>
    <row r="10" spans="1:17" ht="35.1" customHeight="1" x14ac:dyDescent="0.3">
      <c r="B10" s="239" t="s">
        <v>8</v>
      </c>
      <c r="C10" s="240"/>
      <c r="D10" s="139" t="s">
        <v>9</v>
      </c>
      <c r="E10" s="146" t="s">
        <v>10</v>
      </c>
      <c r="F10" s="146" t="s">
        <v>11</v>
      </c>
      <c r="G10" s="146" t="s">
        <v>12</v>
      </c>
      <c r="H10" s="140"/>
      <c r="I10" s="2"/>
      <c r="J10" s="7"/>
      <c r="K10" s="103"/>
      <c r="L10" s="4"/>
      <c r="M10" s="7"/>
      <c r="Q10" s="7"/>
    </row>
    <row r="11" spans="1:17" ht="30.15" customHeight="1" x14ac:dyDescent="0.3">
      <c r="B11" s="241" t="str">
        <f>Calculations!K4</f>
        <v>Dairy product (ANZSIC code 113)</v>
      </c>
      <c r="C11" s="242"/>
      <c r="D11" s="168"/>
      <c r="E11" s="168">
        <f>IF($D$7=1,D57,"0.00")</f>
        <v>5.7</v>
      </c>
      <c r="F11" s="168">
        <f>IF($D$7=1,E57,"0.00")</f>
        <v>0.9</v>
      </c>
      <c r="G11" s="141">
        <f>D11*E11*F11/1000</f>
        <v>0</v>
      </c>
      <c r="H11" s="142"/>
      <c r="I11" s="4"/>
      <c r="J11" s="7"/>
      <c r="K11" s="103"/>
      <c r="L11" s="2"/>
      <c r="M11" s="7"/>
      <c r="Q11" s="10"/>
    </row>
    <row r="12" spans="1:17" ht="30.15" customHeight="1" x14ac:dyDescent="0.3">
      <c r="B12" s="241" t="str">
        <f>Calculations!K5</f>
        <v>Pulp, paper and paperboard (ANZSIC code 1510)</v>
      </c>
      <c r="C12" s="242"/>
      <c r="D12" s="168"/>
      <c r="E12" s="168">
        <f t="shared" ref="E12:F18" si="0">IF($D$7=1,D58,"0.00")</f>
        <v>26.7</v>
      </c>
      <c r="F12" s="168">
        <f t="shared" si="0"/>
        <v>0.4</v>
      </c>
      <c r="G12" s="141">
        <f t="shared" ref="G12:G18" si="1">D12*E12*F12/1000</f>
        <v>0</v>
      </c>
      <c r="H12" s="142"/>
      <c r="I12" s="4"/>
      <c r="J12" s="7"/>
      <c r="K12" s="103"/>
      <c r="L12" s="2"/>
      <c r="M12" s="7"/>
      <c r="Q12" s="10"/>
    </row>
    <row r="13" spans="1:17" s="1" customFormat="1" ht="30.15" customHeight="1" x14ac:dyDescent="0.3">
      <c r="A13" s="79"/>
      <c r="B13" s="241" t="str">
        <f>Calculations!K6</f>
        <v>Meat and poultry (ANZSIC codes 1111 and 1112)</v>
      </c>
      <c r="C13" s="242"/>
      <c r="D13" s="168"/>
      <c r="E13" s="168">
        <f t="shared" si="0"/>
        <v>13.7</v>
      </c>
      <c r="F13" s="168">
        <f t="shared" si="0"/>
        <v>6.1</v>
      </c>
      <c r="G13" s="141">
        <f t="shared" si="1"/>
        <v>0</v>
      </c>
      <c r="H13" s="142"/>
      <c r="I13" s="4"/>
      <c r="K13" s="79"/>
    </row>
    <row r="14" spans="1:17" s="1" customFormat="1" ht="30.15" customHeight="1" x14ac:dyDescent="0.3">
      <c r="A14" s="79"/>
      <c r="B14" s="241" t="str">
        <f>Calculations!K7</f>
        <v>Organic chemicals (ANZSIC codes 18 and 19)</v>
      </c>
      <c r="C14" s="242"/>
      <c r="D14" s="168"/>
      <c r="E14" s="168">
        <f t="shared" si="0"/>
        <v>67</v>
      </c>
      <c r="F14" s="168">
        <f t="shared" si="0"/>
        <v>3</v>
      </c>
      <c r="G14" s="141">
        <f t="shared" si="1"/>
        <v>0</v>
      </c>
      <c r="H14" s="142"/>
      <c r="I14" s="4"/>
      <c r="K14" s="79"/>
    </row>
    <row r="15" spans="1:17" ht="30.15" customHeight="1" x14ac:dyDescent="0.3">
      <c r="B15" s="241" t="str">
        <f>Calculations!K8</f>
        <v>Raw sugar (ANZSIC code 1181)</v>
      </c>
      <c r="C15" s="242"/>
      <c r="D15" s="168"/>
      <c r="E15" s="168">
        <f t="shared" si="0"/>
        <v>0.4</v>
      </c>
      <c r="F15" s="168">
        <f t="shared" si="0"/>
        <v>3.8</v>
      </c>
      <c r="G15" s="141">
        <f t="shared" si="1"/>
        <v>0</v>
      </c>
      <c r="H15" s="142"/>
      <c r="I15" s="4"/>
      <c r="J15" s="7"/>
      <c r="K15" s="103"/>
      <c r="L15" s="2"/>
      <c r="M15" s="7"/>
      <c r="Q15" s="10"/>
    </row>
    <row r="16" spans="1:17" ht="30.15" customHeight="1" x14ac:dyDescent="0.3">
      <c r="B16" s="241" t="str">
        <f>Calculations!K9</f>
        <v>Beer (ANZSIC code 1212)</v>
      </c>
      <c r="C16" s="242"/>
      <c r="D16" s="168"/>
      <c r="E16" s="168">
        <f t="shared" si="0"/>
        <v>5.3</v>
      </c>
      <c r="F16" s="168">
        <f t="shared" si="0"/>
        <v>6</v>
      </c>
      <c r="G16" s="141">
        <f t="shared" si="1"/>
        <v>0</v>
      </c>
      <c r="H16" s="142"/>
      <c r="I16" s="4"/>
      <c r="J16" s="7"/>
      <c r="K16" s="103"/>
      <c r="L16" s="2"/>
      <c r="M16" s="7"/>
      <c r="Q16" s="10"/>
    </row>
    <row r="17" spans="2:20" ht="30.15" customHeight="1" x14ac:dyDescent="0.3">
      <c r="B17" s="241" t="str">
        <f>Calculations!K10</f>
        <v>Wine and other alcoholic beverage (ANZSIC code 1214)</v>
      </c>
      <c r="C17" s="242"/>
      <c r="D17" s="168"/>
      <c r="E17" s="168">
        <f t="shared" si="0"/>
        <v>23</v>
      </c>
      <c r="F17" s="168">
        <f t="shared" si="0"/>
        <v>1.5</v>
      </c>
      <c r="G17" s="141">
        <f t="shared" si="1"/>
        <v>0</v>
      </c>
      <c r="H17" s="142"/>
      <c r="I17" s="4"/>
      <c r="J17" s="7"/>
      <c r="K17" s="103"/>
      <c r="L17" s="2"/>
      <c r="M17" s="7"/>
      <c r="Q17" s="10"/>
    </row>
    <row r="18" spans="2:20" ht="30.15" customHeight="1" x14ac:dyDescent="0.3">
      <c r="B18" s="241" t="str">
        <f>Calculations!K11</f>
        <v>Fruit and vegetable (ANZSIC code 1140)</v>
      </c>
      <c r="C18" s="242"/>
      <c r="D18" s="168"/>
      <c r="E18" s="168">
        <f t="shared" si="0"/>
        <v>20</v>
      </c>
      <c r="F18" s="168">
        <f t="shared" si="0"/>
        <v>0.2</v>
      </c>
      <c r="G18" s="141">
        <f t="shared" si="1"/>
        <v>0</v>
      </c>
      <c r="H18" s="142"/>
      <c r="I18" s="4"/>
      <c r="J18" s="7"/>
      <c r="K18" s="103"/>
      <c r="L18" s="2"/>
      <c r="M18" s="7"/>
      <c r="Q18" s="10"/>
    </row>
    <row r="19" spans="2:20" ht="35.1" customHeight="1" thickBot="1" x14ac:dyDescent="0.35">
      <c r="B19" s="256" t="s">
        <v>13</v>
      </c>
      <c r="C19" s="257"/>
      <c r="D19" s="153" t="str">
        <f>IF(H30=Calculations!$K$23,"Enter required data above","")</f>
        <v>Enter required data above</v>
      </c>
      <c r="E19" s="258" t="str">
        <f>IF(D7=1,"Default values have been entered above for you. See the table below for default method 1 values",IF(D7&gt;1,"Please enter values above",""))</f>
        <v>Default values have been entered above for you. See the table below for default method 1 values</v>
      </c>
      <c r="F19" s="259"/>
      <c r="G19" s="147">
        <f>SUM(G11:G18)</f>
        <v>0</v>
      </c>
      <c r="H19" s="141"/>
      <c r="I19" s="2"/>
      <c r="J19" s="7"/>
      <c r="K19" s="103"/>
      <c r="L19" s="2"/>
      <c r="M19" s="7"/>
      <c r="Q19" s="10"/>
    </row>
    <row r="20" spans="2:20" ht="30.15" customHeight="1" x14ac:dyDescent="0.3">
      <c r="E20" s="243"/>
      <c r="F20" s="244"/>
      <c r="G20" s="245"/>
      <c r="H20" s="3"/>
      <c r="I20" s="116"/>
      <c r="J20" s="117"/>
      <c r="K20" s="187"/>
      <c r="L20" s="2"/>
      <c r="M20" s="7"/>
      <c r="O20" s="2"/>
      <c r="P20" s="7"/>
      <c r="Q20" s="10"/>
      <c r="R20" s="10"/>
      <c r="S20" s="10"/>
      <c r="T20" s="10"/>
    </row>
    <row r="21" spans="2:20" ht="30.15" customHeight="1" x14ac:dyDescent="0.3">
      <c r="B21" s="234" t="s">
        <v>14</v>
      </c>
      <c r="C21" s="235"/>
      <c r="D21" s="169"/>
      <c r="E21" s="228" t="str">
        <f>IF(H21=InpReq,"Please enter required information","")</f>
        <v>Please enter required information</v>
      </c>
      <c r="F21" s="229"/>
      <c r="G21" s="230"/>
      <c r="H21" s="109" t="str">
        <f>IF(D21="",Calculations!$K$25,"")</f>
        <v>&lt;==== Input required</v>
      </c>
      <c r="I21" s="114"/>
      <c r="J21" s="115"/>
      <c r="K21" s="187"/>
      <c r="L21" s="2"/>
      <c r="M21" s="7"/>
      <c r="O21" s="2"/>
      <c r="P21" s="7"/>
      <c r="Q21" s="10"/>
      <c r="R21" s="10"/>
      <c r="S21" s="10"/>
      <c r="T21" s="10"/>
    </row>
    <row r="22" spans="2:20" ht="30.15" customHeight="1" x14ac:dyDescent="0.3">
      <c r="B22" s="236" t="s">
        <v>15</v>
      </c>
      <c r="C22" s="268"/>
      <c r="D22" s="147">
        <f>IF(ISERROR(G19*D21),0,G19*D21)</f>
        <v>0</v>
      </c>
      <c r="E22" s="208" t="str">
        <f>IF(D22=0,"Amount will be calculated for you",IF(D22&gt;0,"Amount has been calculated for you",""))</f>
        <v>Amount will be calculated for you</v>
      </c>
      <c r="F22" s="209"/>
      <c r="G22" s="210"/>
      <c r="H22" s="107"/>
    </row>
    <row r="23" spans="2:20" ht="30.15" customHeight="1" x14ac:dyDescent="0.3">
      <c r="B23" s="234" t="s">
        <v>17</v>
      </c>
      <c r="C23" s="235"/>
      <c r="D23" s="169"/>
      <c r="E23" s="228" t="str">
        <f>IF(H23=InpReq,"Please enter required information",IF(H23="CODtrl + CODtrb + CODtro should be &lt; CODsl","CODtrl + CODtrb + CODtro should be &lt; CODsl",""))</f>
        <v>Please enter required information</v>
      </c>
      <c r="F23" s="229"/>
      <c r="G23" s="230"/>
      <c r="H23" s="109" t="str">
        <f>IF(D23="",Calculations!$K$25,IF((D23+D24+D25)&gt;(D22),"CODtrl + CODtrb + CODtro should be &lt; CODsl",""))</f>
        <v>&lt;==== Input required</v>
      </c>
    </row>
    <row r="24" spans="2:20" ht="30.15" customHeight="1" x14ac:dyDescent="0.3">
      <c r="B24" s="234" t="s">
        <v>207</v>
      </c>
      <c r="C24" s="235"/>
      <c r="D24" s="169"/>
      <c r="E24" s="228" t="str">
        <f>IF(H24=InpReq,"Please enter required information",IF(H24="CODtrl + CODtrb + CODtro should be &lt; CODsl","CODtrl + CODtrb + CODtro should be &lt; CODsl",""))</f>
        <v>Please enter required information</v>
      </c>
      <c r="F24" s="229"/>
      <c r="G24" s="230"/>
      <c r="H24" s="109" t="str">
        <f>IF(D23="",Calculations!$K$25,IF((D23+D24+D25)&gt;(D22),"CODtrl + CODtrb + CODtro should be &lt; CODsl",""))</f>
        <v>&lt;==== Input required</v>
      </c>
    </row>
    <row r="25" spans="2:20" ht="30.15" customHeight="1" x14ac:dyDescent="0.3">
      <c r="B25" s="234" t="s">
        <v>197</v>
      </c>
      <c r="C25" s="235"/>
      <c r="D25" s="169"/>
      <c r="E25" s="228" t="str">
        <f>IF(H25=InpReq,"Please enter required information",IF(H25="CODtrl + CODtrb + CODtro should be &lt; CODsl","CODtrl + CODtrb + CODtro should be &lt; CODsl",""))</f>
        <v>Please enter required information</v>
      </c>
      <c r="F25" s="229"/>
      <c r="G25" s="230"/>
      <c r="H25" s="109" t="str">
        <f>IF(D25="",Calculations!$K$25,IF((D23+D24+D25)&gt;(D22),"CODtrl + CODtrb + CODtro should be &lt; CODsl",""))</f>
        <v>&lt;==== Input required</v>
      </c>
      <c r="K25" s="188"/>
      <c r="P25" s="4"/>
    </row>
    <row r="26" spans="2:20" ht="30.15" customHeight="1" x14ac:dyDescent="0.3">
      <c r="B26" s="227" t="s">
        <v>16</v>
      </c>
      <c r="C26" s="226"/>
      <c r="D26" s="169"/>
      <c r="E26" s="228" t="str">
        <f>IF(H26=InpReq,"Please enter required information",IF(H26="CODeff should be &lt; CODw,i - CODsl","CODeff should be &lt; CODw,i - CODsl",""))</f>
        <v/>
      </c>
      <c r="F26" s="229"/>
      <c r="G26" s="230"/>
      <c r="H26" s="109"/>
      <c r="K26" s="188"/>
      <c r="P26" s="4"/>
    </row>
    <row r="27" spans="2:20" ht="30.15" customHeight="1" x14ac:dyDescent="0.3">
      <c r="B27" s="236" t="s">
        <v>18</v>
      </c>
      <c r="C27" s="237"/>
      <c r="D27" s="169"/>
      <c r="E27" s="228" t="str">
        <f>IF(H27=InpReq,"Please enter required information","")</f>
        <v>Please enter required information</v>
      </c>
      <c r="F27" s="229"/>
      <c r="G27" s="230"/>
      <c r="H27" s="109" t="str">
        <f>IF(D27="",Calculations!$K$25,"")</f>
        <v>&lt;==== Input required</v>
      </c>
      <c r="K27" s="188"/>
      <c r="P27" s="4"/>
    </row>
    <row r="28" spans="2:20" ht="30.15" customHeight="1" x14ac:dyDescent="0.3">
      <c r="B28" s="234" t="s">
        <v>19</v>
      </c>
      <c r="C28" s="235"/>
      <c r="D28" s="169"/>
      <c r="E28" s="228" t="str">
        <f>IF(H28=InpReq,"Please enter required information","")</f>
        <v>Please enter required information</v>
      </c>
      <c r="F28" s="229"/>
      <c r="G28" s="230"/>
      <c r="H28" s="109" t="str">
        <f>IF(D28="",Calculations!$K$25,"")</f>
        <v>&lt;==== Input required</v>
      </c>
      <c r="K28" s="188"/>
      <c r="P28" s="4"/>
    </row>
    <row r="29" spans="2:20" ht="30.15" customHeight="1" x14ac:dyDescent="0.3">
      <c r="B29" s="234" t="s">
        <v>20</v>
      </c>
      <c r="C29" s="235"/>
      <c r="D29" s="169"/>
      <c r="E29" s="228" t="str">
        <f>IF(H29=InpReq,"Please enter required information","")</f>
        <v>Please enter required information</v>
      </c>
      <c r="F29" s="229"/>
      <c r="G29" s="230"/>
      <c r="H29" s="109" t="str">
        <f>IF(D29="",Calculations!$K$25,"")</f>
        <v>&lt;==== Input required</v>
      </c>
      <c r="K29" s="188"/>
      <c r="P29" s="4"/>
    </row>
    <row r="30" spans="2:20" ht="30.15" customHeight="1" x14ac:dyDescent="0.3">
      <c r="B30" s="234" t="s">
        <v>21</v>
      </c>
      <c r="C30" s="235"/>
      <c r="D30" s="170" t="s">
        <v>22</v>
      </c>
      <c r="E30" s="231" t="str">
        <f>IF(AND(D19="Enter required data above",D30=""),"First, enter data for at least one commodity",IF(AND(D19="",D30=""),"Please select from the drop down menu or enter your own value",H30))</f>
        <v>Firstly, input data (above) for at least one commodity</v>
      </c>
      <c r="F30" s="232"/>
      <c r="G30" s="233"/>
      <c r="H30" s="137" t="str">
        <f>IF(Calculations!V7&lt;1,Calculations!$K$23,IF(D30&lt;&gt;"",IF(Calculations!R8=TRUE,VLOOKUP(D30,Calculations!$F$3:$I$7,3,FALSE),D30),Calculations!$K$22))</f>
        <v>Firstly, input data (above) for at least one commodity</v>
      </c>
      <c r="K30" s="188"/>
      <c r="P30" s="4"/>
    </row>
    <row r="31" spans="2:20" ht="30.15" customHeight="1" x14ac:dyDescent="0.3">
      <c r="B31" s="220" t="s">
        <v>23</v>
      </c>
      <c r="C31" s="221"/>
      <c r="D31" s="170" t="s">
        <v>22</v>
      </c>
      <c r="E31" s="231" t="str">
        <f>IF(AND(D19="Enter required data above",D31=""),"First, enter data for at least one commodity",IF(AND(D19="",D31=""),"Please select from the drop down menu or enter your own value",H31))</f>
        <v>Firstly, input data (above) for at least one commodity</v>
      </c>
      <c r="F31" s="232"/>
      <c r="G31" s="233"/>
      <c r="H31" s="137" t="str">
        <f>IF(Calculations!V7&lt;1,Calculations!$K$23,IF(D31&lt;&gt;"",IF(Calculations!R7=TRUE,VLOOKUP(D31,Calculations!$F$3:$I$7,4,FALSE),D31),Calculations!$K$22))</f>
        <v>Firstly, input data (above) for at least one commodity</v>
      </c>
      <c r="I31" s="2"/>
      <c r="J31" s="2"/>
      <c r="K31" s="188"/>
      <c r="L31" s="2"/>
      <c r="M31" s="2"/>
      <c r="N31" s="2"/>
      <c r="O31" s="2"/>
      <c r="P31" s="4"/>
    </row>
    <row r="32" spans="2:20" ht="30.15" customHeight="1" x14ac:dyDescent="0.3">
      <c r="B32" s="212" t="s">
        <v>24</v>
      </c>
      <c r="C32" s="226"/>
      <c r="D32" s="168">
        <v>7</v>
      </c>
      <c r="E32" s="205" t="str">
        <f>IF(D32="","Please enter required information",IF(D32=7,"Default value has been entered for you",""))</f>
        <v>Default value has been entered for you</v>
      </c>
      <c r="F32" s="206"/>
      <c r="G32" s="207"/>
      <c r="H32" s="109">
        <f>IF(D32="",Calculations!$K$22,IF(ISNUMBER(D32),D32,Calculations!$K$26))</f>
        <v>7</v>
      </c>
      <c r="K32" s="188"/>
      <c r="P32" s="4"/>
    </row>
    <row r="33" spans="2:20" ht="30.15" customHeight="1" x14ac:dyDescent="0.3">
      <c r="B33" s="212" t="s">
        <v>25</v>
      </c>
      <c r="C33" s="226"/>
      <c r="D33" s="168">
        <v>7</v>
      </c>
      <c r="E33" s="205" t="str">
        <f>IF(D33="","Please enter required information",IF(D33=7,"Default value has been entered for you",""))</f>
        <v>Default value has been entered for you</v>
      </c>
      <c r="F33" s="206"/>
      <c r="G33" s="207"/>
      <c r="H33" s="109">
        <f>IF(D33="",Calculations!$K$22,IF(ISNUMBER(D33),D33,Calculations!$K$26))</f>
        <v>7</v>
      </c>
      <c r="K33" s="188"/>
      <c r="P33" s="4"/>
    </row>
    <row r="34" spans="2:20" ht="30.15" customHeight="1" x14ac:dyDescent="0.3">
      <c r="B34" s="227" t="s">
        <v>26</v>
      </c>
      <c r="C34" s="226"/>
      <c r="D34" s="143">
        <f>6.784*10^-4*28</f>
        <v>1.89952E-2</v>
      </c>
      <c r="E34" s="208" t="s">
        <v>27</v>
      </c>
      <c r="F34" s="209"/>
      <c r="G34" s="210"/>
    </row>
    <row r="35" spans="2:20" ht="30.15" customHeight="1" x14ac:dyDescent="0.3">
      <c r="B35" s="148"/>
      <c r="C35" s="149"/>
      <c r="D35" s="144"/>
      <c r="E35" s="144"/>
      <c r="F35" s="150"/>
      <c r="G35" s="151"/>
      <c r="I35" s="2"/>
      <c r="J35" s="7"/>
      <c r="K35" s="103"/>
      <c r="L35" s="2"/>
      <c r="M35" s="7"/>
      <c r="Q35" s="10"/>
    </row>
    <row r="36" spans="2:20" ht="30.15" customHeight="1" x14ac:dyDescent="0.3">
      <c r="I36" s="108"/>
      <c r="J36" s="112"/>
      <c r="L36" s="4"/>
      <c r="M36" s="7"/>
      <c r="O36" s="4"/>
      <c r="P36" s="7"/>
      <c r="Q36" s="10"/>
      <c r="R36" s="10"/>
      <c r="S36" s="10"/>
      <c r="T36" s="4"/>
    </row>
    <row r="37" spans="2:20" ht="30.15" customHeight="1" x14ac:dyDescent="0.3">
      <c r="I37" s="111"/>
      <c r="J37" s="2"/>
      <c r="N37" s="2"/>
      <c r="O37" s="7"/>
      <c r="Q37" s="10"/>
      <c r="R37" s="10"/>
      <c r="S37" s="7"/>
    </row>
    <row r="38" spans="2:20" ht="30.15" customHeight="1" x14ac:dyDescent="0.3">
      <c r="I38" s="107"/>
      <c r="J38" s="111"/>
      <c r="L38" s="2"/>
      <c r="M38" s="7"/>
      <c r="O38" s="2"/>
      <c r="P38" s="7"/>
      <c r="Q38" s="10"/>
      <c r="R38" s="10"/>
      <c r="S38" s="10"/>
      <c r="T38" s="7"/>
    </row>
    <row r="39" spans="2:20" ht="30.15" customHeight="1" x14ac:dyDescent="0.3">
      <c r="G39" s="6"/>
      <c r="H39" s="10"/>
      <c r="I39" s="108"/>
      <c r="J39" s="112"/>
      <c r="L39" s="4"/>
      <c r="M39" s="7"/>
      <c r="O39" s="4"/>
      <c r="P39" s="7"/>
      <c r="Q39" s="10"/>
      <c r="R39" s="10"/>
      <c r="S39" s="10"/>
      <c r="T39" s="4"/>
    </row>
    <row r="40" spans="2:20" ht="30.15" customHeight="1" x14ac:dyDescent="0.3">
      <c r="G40" s="6"/>
      <c r="H40" s="10"/>
      <c r="I40" s="108"/>
      <c r="J40" s="112"/>
      <c r="L40" s="4"/>
      <c r="M40" s="7"/>
      <c r="O40" s="4"/>
      <c r="P40" s="7"/>
      <c r="Q40" s="10"/>
      <c r="R40" s="10"/>
      <c r="S40" s="10"/>
      <c r="T40" s="4"/>
    </row>
    <row r="41" spans="2:20" ht="30.15" customHeight="1" x14ac:dyDescent="0.3">
      <c r="B41" s="197" t="s">
        <v>28</v>
      </c>
      <c r="C41" s="198"/>
      <c r="D41" s="199"/>
      <c r="E41" s="158"/>
      <c r="F41" s="158"/>
      <c r="G41" s="159"/>
      <c r="H41" s="10"/>
      <c r="I41" s="108"/>
      <c r="J41" s="112"/>
      <c r="L41" s="4"/>
      <c r="M41" s="7"/>
      <c r="O41" s="4"/>
      <c r="P41" s="7"/>
      <c r="Q41" s="10"/>
      <c r="R41" s="10"/>
      <c r="S41" s="10"/>
      <c r="T41" s="4"/>
    </row>
    <row r="42" spans="2:20" ht="30.15" customHeight="1" x14ac:dyDescent="0.3">
      <c r="B42" s="155"/>
      <c r="C42" s="156"/>
      <c r="D42" s="157"/>
      <c r="E42" s="157"/>
      <c r="F42" s="200"/>
      <c r="G42" s="201"/>
      <c r="H42" s="10"/>
      <c r="I42" s="108"/>
      <c r="J42" s="113"/>
      <c r="L42" s="4"/>
      <c r="M42" s="7"/>
      <c r="O42" s="4"/>
      <c r="P42" s="7"/>
      <c r="Q42" s="10"/>
      <c r="R42" s="10"/>
      <c r="S42" s="10"/>
      <c r="T42" s="4"/>
    </row>
    <row r="43" spans="2:20" ht="30.15" customHeight="1" x14ac:dyDescent="0.3">
      <c r="B43" s="212" t="s">
        <v>29</v>
      </c>
      <c r="C43" s="213"/>
      <c r="D43" s="147" t="str">
        <f>IF(ISERROR(D51-D49),"",IF(D51-D49&lt;0,0,D51-D49))</f>
        <v/>
      </c>
      <c r="E43" s="222" t="s">
        <v>30</v>
      </c>
      <c r="F43" s="222"/>
      <c r="G43" s="222"/>
      <c r="H43" s="5"/>
      <c r="I43" s="108"/>
      <c r="J43" s="112"/>
      <c r="L43" s="4"/>
      <c r="M43" s="7"/>
      <c r="O43" s="4"/>
      <c r="P43" s="7"/>
      <c r="Q43" s="10"/>
      <c r="R43" s="10"/>
      <c r="S43" s="10"/>
      <c r="T43" s="4"/>
    </row>
    <row r="44" spans="2:20" ht="30.15" customHeight="1" x14ac:dyDescent="0.3">
      <c r="B44" s="223"/>
      <c r="C44" s="223"/>
      <c r="D44" s="223"/>
      <c r="E44" s="223"/>
      <c r="F44" s="223"/>
      <c r="G44" s="223"/>
      <c r="H44" s="10"/>
      <c r="I44" s="110"/>
      <c r="J44" s="112"/>
      <c r="L44" s="4"/>
      <c r="M44" s="7"/>
      <c r="O44" s="4"/>
      <c r="P44" s="7"/>
      <c r="Q44" s="10"/>
      <c r="R44" s="10"/>
      <c r="S44" s="10"/>
      <c r="T44" s="4"/>
    </row>
    <row r="45" spans="2:20" ht="30.15" customHeight="1" x14ac:dyDescent="0.3">
      <c r="B45" s="260" t="s">
        <v>31</v>
      </c>
      <c r="C45" s="261"/>
      <c r="D45" s="141">
        <f>IF(ISERROR((D22-D23-D24-D25)*H31*D33),0,(D22-D23-D24-D25)*H31*D33)</f>
        <v>0</v>
      </c>
      <c r="E45" s="224" t="s">
        <v>32</v>
      </c>
      <c r="F45" s="224"/>
      <c r="G45" s="224"/>
      <c r="H45" s="10"/>
      <c r="I45" s="108"/>
      <c r="J45" s="113"/>
      <c r="L45" s="4"/>
      <c r="M45" s="7"/>
      <c r="O45" s="4"/>
      <c r="P45" s="7"/>
      <c r="Q45" s="10"/>
      <c r="R45" s="10"/>
      <c r="S45" s="10"/>
      <c r="T45" s="4"/>
    </row>
    <row r="46" spans="2:20" ht="30.15" customHeight="1" x14ac:dyDescent="0.3">
      <c r="B46" s="262"/>
      <c r="C46" s="263"/>
      <c r="D46" s="141">
        <f>IF(ISERROR((G19-D22-D26)*H30*D32),0,(G19-D22-D26)*H30*D32)</f>
        <v>0</v>
      </c>
      <c r="E46" s="224" t="s">
        <v>33</v>
      </c>
      <c r="F46" s="224"/>
      <c r="G46" s="224"/>
      <c r="H46" s="10"/>
      <c r="I46" s="108"/>
      <c r="J46" s="112"/>
      <c r="L46" s="4"/>
      <c r="M46" s="7"/>
      <c r="O46" s="4"/>
      <c r="P46" s="7"/>
      <c r="Q46" s="10"/>
      <c r="R46" s="10"/>
      <c r="S46" s="10"/>
      <c r="T46" s="4"/>
    </row>
    <row r="47" spans="2:20" ht="30.15" customHeight="1" x14ac:dyDescent="0.3">
      <c r="B47" s="264"/>
      <c r="C47" s="265"/>
      <c r="D47" s="154">
        <f>IF(ISERROR(D46+D45),"",D46+D45)</f>
        <v>0</v>
      </c>
      <c r="E47" s="225" t="s">
        <v>34</v>
      </c>
      <c r="F47" s="225"/>
      <c r="G47" s="225"/>
      <c r="H47" s="10"/>
      <c r="I47" s="108"/>
      <c r="J47" s="112"/>
      <c r="L47" s="4"/>
      <c r="M47" s="7"/>
      <c r="O47" s="4"/>
      <c r="P47" s="7"/>
      <c r="Q47" s="10"/>
      <c r="R47" s="10"/>
      <c r="S47" s="10"/>
      <c r="T47" s="4"/>
    </row>
    <row r="48" spans="2:20" ht="30.15" customHeight="1" x14ac:dyDescent="0.3">
      <c r="B48" s="214"/>
      <c r="C48" s="215"/>
      <c r="D48" s="215"/>
      <c r="E48" s="215"/>
      <c r="F48" s="215"/>
      <c r="G48" s="216"/>
      <c r="I48" s="2"/>
      <c r="J48" s="7"/>
      <c r="K48" s="103"/>
      <c r="L48" s="2"/>
      <c r="M48" s="7"/>
      <c r="Q48" s="10"/>
    </row>
    <row r="49" spans="2:17" ht="30.15" customHeight="1" x14ac:dyDescent="0.3">
      <c r="B49" s="266" t="s">
        <v>35</v>
      </c>
      <c r="C49" s="266"/>
      <c r="D49" s="154">
        <f>D34*(D27+D28+D29)</f>
        <v>0</v>
      </c>
      <c r="E49" s="267" t="s">
        <v>30</v>
      </c>
      <c r="F49" s="267"/>
      <c r="G49" s="267"/>
    </row>
    <row r="50" spans="2:17" ht="30.15" customHeight="1" x14ac:dyDescent="0.3">
      <c r="B50" s="217"/>
      <c r="C50" s="218"/>
      <c r="D50" s="218"/>
      <c r="E50" s="218"/>
      <c r="F50" s="218"/>
      <c r="G50" s="219"/>
    </row>
    <row r="51" spans="2:17" ht="30.15" customHeight="1" x14ac:dyDescent="0.3">
      <c r="B51" s="220" t="s">
        <v>36</v>
      </c>
      <c r="C51" s="221"/>
      <c r="D51" s="147" t="str">
        <f>IF(ISERROR(IF(D7=1,IF(D49/D47&lt;=0.75,D47,D49/0.75),D47)),"",IF(D7=1,IF(D49/D47&lt;=0.75,D47,D49/0.75),D47))</f>
        <v/>
      </c>
      <c r="E51" s="211" t="s">
        <v>30</v>
      </c>
      <c r="F51" s="211"/>
      <c r="G51" s="211"/>
    </row>
    <row r="52" spans="2:17" ht="30.15" customHeight="1" x14ac:dyDescent="0.3">
      <c r="B52" s="217"/>
      <c r="C52" s="218"/>
      <c r="D52" s="218"/>
      <c r="E52" s="218"/>
      <c r="F52" s="218"/>
      <c r="G52" s="219"/>
    </row>
    <row r="53" spans="2:17" ht="30.15" customHeight="1" x14ac:dyDescent="0.3">
      <c r="I53" s="10"/>
      <c r="K53" s="103"/>
      <c r="L53" s="2"/>
      <c r="M53" s="2"/>
      <c r="N53" s="2"/>
      <c r="O53" s="2"/>
      <c r="P53" s="2"/>
    </row>
    <row r="54" spans="2:17" ht="44.4" customHeight="1" x14ac:dyDescent="0.3">
      <c r="B54" s="134"/>
      <c r="C54" s="144"/>
      <c r="D54" s="144"/>
      <c r="E54" s="144"/>
      <c r="F54" s="144"/>
      <c r="G54" s="134"/>
      <c r="I54" s="10"/>
      <c r="K54" s="103"/>
      <c r="L54" s="2"/>
      <c r="M54" s="2"/>
      <c r="N54" s="2"/>
      <c r="O54" s="2"/>
      <c r="P54" s="2"/>
    </row>
    <row r="55" spans="2:17" ht="30.15" customHeight="1" x14ac:dyDescent="0.3">
      <c r="B55" s="202" t="s">
        <v>37</v>
      </c>
      <c r="C55" s="203"/>
      <c r="D55" s="204"/>
      <c r="E55" s="165"/>
      <c r="F55" s="164"/>
      <c r="G55" s="164"/>
      <c r="I55" s="10"/>
      <c r="K55" s="103"/>
      <c r="L55" s="2"/>
      <c r="M55" s="2"/>
      <c r="N55" s="2"/>
      <c r="O55" s="2"/>
      <c r="P55" s="2"/>
    </row>
    <row r="56" spans="2:17" ht="30.15" customHeight="1" x14ac:dyDescent="0.3">
      <c r="B56" s="270" t="str">
        <f>Calculations!K3</f>
        <v>Commodity</v>
      </c>
      <c r="C56" s="270"/>
      <c r="D56" s="160" t="str">
        <f>Calculations!L3</f>
        <v>Wgen,i</v>
      </c>
      <c r="E56" s="163" t="str">
        <f>Calculations!M3</f>
        <v>CODcon,i</v>
      </c>
      <c r="F56" s="140" t="s">
        <v>38</v>
      </c>
      <c r="G56" s="164"/>
      <c r="I56" s="2"/>
      <c r="K56" s="103"/>
      <c r="L56" s="10"/>
      <c r="M56" s="2"/>
      <c r="N56" s="2"/>
      <c r="O56" s="2"/>
      <c r="P56" s="2"/>
    </row>
    <row r="57" spans="2:17" ht="30.15" customHeight="1" x14ac:dyDescent="0.3">
      <c r="B57" s="269" t="str">
        <f>Calculations!K4</f>
        <v>Dairy product (ANZSIC code 113)</v>
      </c>
      <c r="C57" s="269"/>
      <c r="D57" s="161">
        <f>Calculations!L4</f>
        <v>5.7</v>
      </c>
      <c r="E57" s="161">
        <f>Calculations!M4</f>
        <v>0.9</v>
      </c>
      <c r="F57" s="142" t="s">
        <v>39</v>
      </c>
      <c r="G57" s="164"/>
      <c r="I57" s="2"/>
      <c r="K57" s="103"/>
      <c r="L57" s="10"/>
      <c r="M57" s="2"/>
      <c r="N57" s="2"/>
      <c r="O57" s="2"/>
      <c r="P57" s="2"/>
    </row>
    <row r="58" spans="2:17" ht="30.15" customHeight="1" x14ac:dyDescent="0.3">
      <c r="B58" s="269" t="str">
        <f>Calculations!K5</f>
        <v>Pulp, paper and paperboard (ANZSIC code 1510)</v>
      </c>
      <c r="C58" s="269"/>
      <c r="D58" s="161">
        <f>Calculations!L5</f>
        <v>26.7</v>
      </c>
      <c r="E58" s="161">
        <f>Calculations!M5</f>
        <v>0.4</v>
      </c>
      <c r="F58" s="142" t="s">
        <v>39</v>
      </c>
      <c r="G58" s="164"/>
      <c r="I58" s="2"/>
      <c r="K58" s="103"/>
      <c r="L58" s="10"/>
      <c r="M58" s="2"/>
      <c r="N58" s="2"/>
      <c r="O58" s="2"/>
      <c r="P58" s="2"/>
    </row>
    <row r="59" spans="2:17" ht="35.1" customHeight="1" x14ac:dyDescent="0.3">
      <c r="B59" s="269" t="str">
        <f>Calculations!K6</f>
        <v>Meat and poultry (ANZSIC codes 1111 and 1112)</v>
      </c>
      <c r="C59" s="269"/>
      <c r="D59" s="161">
        <f>Calculations!L6</f>
        <v>13.7</v>
      </c>
      <c r="E59" s="161">
        <f>Calculations!M6</f>
        <v>6.1</v>
      </c>
      <c r="F59" s="142" t="s">
        <v>40</v>
      </c>
      <c r="G59" s="164"/>
      <c r="I59" s="2"/>
      <c r="K59" s="103"/>
      <c r="L59" s="10"/>
      <c r="M59" s="2"/>
      <c r="N59" s="2"/>
      <c r="O59" s="2"/>
      <c r="P59" s="2"/>
    </row>
    <row r="60" spans="2:17" ht="30.15" customHeight="1" x14ac:dyDescent="0.3">
      <c r="B60" s="269" t="str">
        <f>Calculations!K7</f>
        <v>Organic chemicals (ANZSIC codes 18 and 19)</v>
      </c>
      <c r="C60" s="269"/>
      <c r="D60" s="161">
        <f>Calculations!L7</f>
        <v>67</v>
      </c>
      <c r="E60" s="161">
        <f>Calculations!M7</f>
        <v>3</v>
      </c>
      <c r="F60" s="142" t="s">
        <v>39</v>
      </c>
      <c r="G60" s="164"/>
      <c r="I60" s="2"/>
      <c r="K60" s="103"/>
      <c r="L60" s="10"/>
      <c r="M60" s="2"/>
      <c r="N60" s="2"/>
      <c r="O60" s="2"/>
      <c r="P60" s="2"/>
    </row>
    <row r="61" spans="2:17" ht="30.15" customHeight="1" x14ac:dyDescent="0.3">
      <c r="B61" s="269" t="str">
        <f>Calculations!K8</f>
        <v>Raw sugar (ANZSIC code 1181)</v>
      </c>
      <c r="C61" s="269"/>
      <c r="D61" s="161">
        <f>Calculations!L8</f>
        <v>0.4</v>
      </c>
      <c r="E61" s="161">
        <f>Calculations!M8</f>
        <v>3.8</v>
      </c>
      <c r="F61" s="142" t="s">
        <v>41</v>
      </c>
      <c r="G61" s="164"/>
      <c r="I61" s="2"/>
      <c r="K61" s="103"/>
      <c r="L61" s="10"/>
      <c r="M61" s="2"/>
      <c r="N61" s="2"/>
      <c r="O61" s="2"/>
      <c r="P61" s="2"/>
    </row>
    <row r="62" spans="2:17" ht="30.15" customHeight="1" x14ac:dyDescent="0.3">
      <c r="B62" s="269" t="str">
        <f>Calculations!K9</f>
        <v>Beer (ANZSIC code 1212)</v>
      </c>
      <c r="C62" s="269"/>
      <c r="D62" s="161">
        <f>Calculations!L9</f>
        <v>5.3</v>
      </c>
      <c r="E62" s="161">
        <f>Calculations!M9</f>
        <v>6</v>
      </c>
      <c r="F62" s="142" t="s">
        <v>39</v>
      </c>
      <c r="G62" s="164"/>
      <c r="I62" s="2"/>
      <c r="J62" s="7"/>
      <c r="K62" s="103"/>
      <c r="L62" s="2"/>
      <c r="M62" s="7"/>
      <c r="Q62" s="10"/>
    </row>
    <row r="63" spans="2:17" ht="30.15" customHeight="1" x14ac:dyDescent="0.3">
      <c r="B63" s="269" t="str">
        <f>Calculations!K10</f>
        <v>Wine and other alcoholic beverage (ANZSIC code 1214)</v>
      </c>
      <c r="C63" s="269"/>
      <c r="D63" s="161">
        <f>Calculations!L10</f>
        <v>23</v>
      </c>
      <c r="E63" s="161">
        <f>Calculations!M10</f>
        <v>1.5</v>
      </c>
      <c r="F63" s="142" t="s">
        <v>39</v>
      </c>
      <c r="G63" s="164"/>
      <c r="I63" s="2"/>
      <c r="J63" s="7"/>
      <c r="K63" s="103"/>
      <c r="L63" s="2"/>
      <c r="M63" s="7"/>
      <c r="Q63" s="10"/>
    </row>
    <row r="64" spans="2:17" ht="30.15" customHeight="1" x14ac:dyDescent="0.3">
      <c r="B64" s="269" t="str">
        <f>Calculations!K11</f>
        <v>Fruit and vegetable (ANZSIC code 1140)</v>
      </c>
      <c r="C64" s="269"/>
      <c r="D64" s="142">
        <f>Calculations!L11</f>
        <v>20</v>
      </c>
      <c r="E64" s="142">
        <f>Calculations!M11</f>
        <v>0.2</v>
      </c>
      <c r="F64" s="142" t="s">
        <v>39</v>
      </c>
      <c r="G64" s="164"/>
      <c r="I64" s="2"/>
      <c r="J64" s="7"/>
      <c r="K64" s="103"/>
      <c r="L64" s="2"/>
      <c r="M64" s="7"/>
      <c r="Q64" s="10"/>
    </row>
    <row r="65" spans="2:7" x14ac:dyDescent="0.3">
      <c r="B65" s="134"/>
      <c r="C65" s="144"/>
      <c r="D65" s="144"/>
      <c r="E65" s="144"/>
      <c r="F65" s="144"/>
      <c r="G65" s="134"/>
    </row>
    <row r="66" spans="2:7" x14ac:dyDescent="0.3">
      <c r="B66" s="134"/>
      <c r="C66" s="144"/>
      <c r="D66" s="144"/>
      <c r="E66" s="144"/>
      <c r="F66" s="144"/>
      <c r="G66" s="134"/>
    </row>
    <row r="67" spans="2:7" hidden="1" x14ac:dyDescent="0.3">
      <c r="B67" s="134"/>
      <c r="C67" s="144"/>
      <c r="D67" s="144"/>
      <c r="E67" s="144"/>
      <c r="F67" s="144"/>
      <c r="G67" s="134"/>
    </row>
  </sheetData>
  <sheetProtection algorithmName="SHA-256" hashValue="G1VuYFnmG+bF4gMGj8W0K57c97OQO+EXLrj9Rq01Tns=" saltValue="4ewlj60vYtzbzcgOml9IaQ==" spinCount="100000" sheet="1" selectLockedCells="1"/>
  <mergeCells count="74">
    <mergeCell ref="B61:C61"/>
    <mergeCell ref="B62:C62"/>
    <mergeCell ref="B63:C63"/>
    <mergeCell ref="B64:C64"/>
    <mergeCell ref="B56:C56"/>
    <mergeCell ref="B57:C57"/>
    <mergeCell ref="B58:C58"/>
    <mergeCell ref="B59:C59"/>
    <mergeCell ref="B60:C60"/>
    <mergeCell ref="B22:C22"/>
    <mergeCell ref="B26:C26"/>
    <mergeCell ref="E22:G22"/>
    <mergeCell ref="E31:G31"/>
    <mergeCell ref="B28:C28"/>
    <mergeCell ref="B29:C29"/>
    <mergeCell ref="E28:G28"/>
    <mergeCell ref="B45:C47"/>
    <mergeCell ref="B49:C49"/>
    <mergeCell ref="E49:G49"/>
    <mergeCell ref="E27:G27"/>
    <mergeCell ref="B24:C24"/>
    <mergeCell ref="E24:G24"/>
    <mergeCell ref="E26:G26"/>
    <mergeCell ref="C1:F1"/>
    <mergeCell ref="B7:C7"/>
    <mergeCell ref="B6:C6"/>
    <mergeCell ref="E6:G6"/>
    <mergeCell ref="E7:G7"/>
    <mergeCell ref="B5:D5"/>
    <mergeCell ref="B2:F2"/>
    <mergeCell ref="B8:F8"/>
    <mergeCell ref="E21:G21"/>
    <mergeCell ref="B10:C10"/>
    <mergeCell ref="B11:C11"/>
    <mergeCell ref="B12:C12"/>
    <mergeCell ref="E20:G20"/>
    <mergeCell ref="B13:C13"/>
    <mergeCell ref="B19:C19"/>
    <mergeCell ref="B14:C14"/>
    <mergeCell ref="B15:C15"/>
    <mergeCell ref="B16:C16"/>
    <mergeCell ref="B17:C17"/>
    <mergeCell ref="B18:C18"/>
    <mergeCell ref="E19:F19"/>
    <mergeCell ref="B21:C21"/>
    <mergeCell ref="E29:G29"/>
    <mergeCell ref="E30:G30"/>
    <mergeCell ref="B30:C30"/>
    <mergeCell ref="B23:C23"/>
    <mergeCell ref="E23:G23"/>
    <mergeCell ref="B25:C25"/>
    <mergeCell ref="E25:G25"/>
    <mergeCell ref="B27:C27"/>
    <mergeCell ref="E32:G32"/>
    <mergeCell ref="B32:C32"/>
    <mergeCell ref="B33:C33"/>
    <mergeCell ref="B34:C34"/>
    <mergeCell ref="B31:C31"/>
    <mergeCell ref="B41:D41"/>
    <mergeCell ref="F42:G42"/>
    <mergeCell ref="B55:D55"/>
    <mergeCell ref="E33:G33"/>
    <mergeCell ref="E34:G34"/>
    <mergeCell ref="E51:G51"/>
    <mergeCell ref="B43:C43"/>
    <mergeCell ref="B48:G48"/>
    <mergeCell ref="B50:G50"/>
    <mergeCell ref="B52:G52"/>
    <mergeCell ref="B51:C51"/>
    <mergeCell ref="E43:G43"/>
    <mergeCell ref="B44:G44"/>
    <mergeCell ref="E45:G45"/>
    <mergeCell ref="E46:G46"/>
    <mergeCell ref="E47:G47"/>
  </mergeCells>
  <conditionalFormatting sqref="D19:E19">
    <cfRule type="cellIs" dxfId="9" priority="3" operator="equal">
      <formula>"Enter required data above"</formula>
    </cfRule>
  </conditionalFormatting>
  <conditionalFormatting sqref="E6:G6">
    <cfRule type="cellIs" dxfId="8" priority="11" operator="equal">
      <formula>"Incorrect reporting period selected"</formula>
    </cfRule>
    <cfRule type="cellIs" dxfId="7" priority="12" operator="equal">
      <formula>"Enter reporting period year ending (e.g. for 2017-2018 enter 2018)"</formula>
    </cfRule>
  </conditionalFormatting>
  <conditionalFormatting sqref="E7:G7">
    <cfRule type="cellIs" dxfId="6" priority="10" operator="equal">
      <formula>"Please select reporting method"</formula>
    </cfRule>
  </conditionalFormatting>
  <conditionalFormatting sqref="E21:G25 E26">
    <cfRule type="cellIs" dxfId="5" priority="9" operator="equal">
      <formula>"Please enter required information"</formula>
    </cfRule>
  </conditionalFormatting>
  <conditionalFormatting sqref="E23:G25 E26">
    <cfRule type="cellIs" dxfId="4" priority="6" operator="equal">
      <formula>"CODtrl + CODtrb + CODtro should be &lt; CODsl"</formula>
    </cfRule>
  </conditionalFormatting>
  <conditionalFormatting sqref="E27:G29">
    <cfRule type="cellIs" dxfId="3" priority="5" operator="equal">
      <formula>"Please enter required information"</formula>
    </cfRule>
  </conditionalFormatting>
  <conditionalFormatting sqref="E29:G34">
    <cfRule type="cellIs" dxfId="2" priority="4" operator="equal">
      <formula>"Please enter required information"</formula>
    </cfRule>
  </conditionalFormatting>
  <conditionalFormatting sqref="E30:G31">
    <cfRule type="cellIs" dxfId="1" priority="1" operator="equal">
      <formula>"Please select from the drop down menu or enter your own value"</formula>
    </cfRule>
    <cfRule type="cellIs" dxfId="0" priority="2" operator="equal">
      <formula>"First, enter data for at least one commodity"</formula>
    </cfRule>
  </conditionalFormatting>
  <dataValidations count="12">
    <dataValidation type="list" allowBlank="1" showInputMessage="1" sqref="D31" xr:uid="{00000000-0002-0000-0200-000000000000}">
      <formula1>IPCC_default_treatment_types</formula1>
    </dataValidation>
    <dataValidation showInputMessage="1" sqref="D32:D33" xr:uid="{00000000-0002-0000-0200-000001000000}"/>
    <dataValidation type="list" allowBlank="1" showInputMessage="1" showErrorMessage="1" errorTitle=" " error="Method must be entered as a whole number. Methods 1, 2, or 3 only available" promptTitle=" " prompt="Select from drop-down list" sqref="D7" xr:uid="{00000000-0002-0000-0200-000002000000}">
      <formula1>"1, 2, 3"</formula1>
    </dataValidation>
    <dataValidation type="list" allowBlank="1" showInputMessage="1" error="Input must bebetween 0 and 1." sqref="D30" xr:uid="{00000000-0002-0000-0200-000004000000}">
      <formula1>IPCC_default_treatment_types</formula1>
    </dataValidation>
    <dataValidation type="decimal" allowBlank="1" showInputMessage="1" showErrorMessage="1" error="Input must be between 0 to 1" sqref="D21" xr:uid="{00000000-0002-0000-0200-000005000000}">
      <formula1>0</formula1>
      <formula2>1</formula2>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6" xr:uid="{00000000-0002-0000-0200-000006000000}">
      <formula1>2016</formula1>
    </dataValidation>
    <dataValidation allowBlank="1" showInputMessage="1" showErrorMessage="1" errorTitle=" " error="Method must be entered as a whole number. Methods 1, 2, or 3 only available" promptTitle=" " prompt="Select from drop-down list" sqref="E7:G7" xr:uid="{00000000-0002-0000-0200-000007000000}"/>
    <dataValidation allowBlank="1" showInputMessage="1" showErrorMessage="1" error="Enter year as a whole number between 2009 and 2015" sqref="E6:G6" xr:uid="{00000000-0002-0000-0200-000008000000}"/>
    <dataValidation allowBlank="1" showInputMessage="1" showErrorMessage="1" error="Input must be between 0 to 1" sqref="E21:G21" xr:uid="{00000000-0002-0000-0200-000009000000}"/>
    <dataValidation operator="greaterThanOrEqual" allowBlank="1" showInputMessage="1" showErrorMessage="1" error="Input must be a positive numerical value" sqref="D11:F18 F23:G25 E23:E26" xr:uid="{00000000-0002-0000-0200-00000A000000}"/>
    <dataValidation type="decimal" operator="greaterThan" allowBlank="1" showInputMessage="1" showErrorMessage="1" sqref="G11:G18" xr:uid="{00000000-0002-0000-0200-00000B000000}">
      <formula1>0</formula1>
    </dataValidation>
    <dataValidation type="decimal" operator="greaterThanOrEqual" allowBlank="1" showInputMessage="1" showErrorMessage="1" error="Input must be a positive numerical value" sqref="D23:D29" xr:uid="{00000000-0002-0000-0200-000003000000}">
      <formula1>0</formula1>
    </dataValidation>
  </dataValidations>
  <printOptions gridLines="1"/>
  <pageMargins left="0.70866141732283472" right="0.70866141732283472" top="0.74803149606299213" bottom="0.74803149606299213" header="0.31496062992125984" footer="0.31496062992125984"/>
  <pageSetup paperSize="8" scale="56" orientation="portrait" r:id="rId1"/>
  <headerFooter>
    <oddHeader>&amp;LNGER wastewater (Industrial) calculator 1.5 Sheet: 3&amp;R&amp;A</oddHeader>
    <oddFooter>&amp;L© Commonwealth of Australia (2014) Clean Energy Regulator.&amp;RISBN: 978-1-921299-80-3</oddFooter>
  </headerFooter>
  <rowBreaks count="1" manualBreakCount="1">
    <brk id="34" min="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8"/>
  <sheetViews>
    <sheetView showRowColHeaders="0" zoomScaleNormal="100" workbookViewId="0"/>
  </sheetViews>
  <sheetFormatPr defaultColWidth="0" defaultRowHeight="13.2" zeroHeight="1" x14ac:dyDescent="0.25"/>
  <cols>
    <col min="1" max="14" width="9.88671875" style="103" customWidth="1"/>
    <col min="15" max="15" width="13.88671875" style="103" customWidth="1"/>
    <col min="16" max="16" width="9.88671875" style="103" customWidth="1"/>
    <col min="17" max="21" width="9.88671875" style="103" hidden="1" customWidth="1"/>
    <col min="22" max="16384" width="9.109375" style="103" hidden="1"/>
  </cols>
  <sheetData>
    <row r="1" spans="2:15" ht="137.25" customHeight="1" x14ac:dyDescent="0.25"/>
    <row r="2" spans="2:15" ht="30.15" customHeight="1" x14ac:dyDescent="0.25">
      <c r="B2" s="284" t="s">
        <v>191</v>
      </c>
      <c r="C2" s="285"/>
      <c r="D2" s="285"/>
      <c r="E2" s="285"/>
      <c r="F2" s="285"/>
      <c r="G2" s="285"/>
      <c r="H2" s="285"/>
      <c r="I2" s="285"/>
      <c r="J2" s="285"/>
      <c r="K2" s="285"/>
      <c r="L2" s="285"/>
      <c r="M2" s="285"/>
      <c r="N2" s="285"/>
      <c r="O2" s="285"/>
    </row>
    <row r="3" spans="2:15" ht="14.4" x14ac:dyDescent="0.3">
      <c r="B3" s="180"/>
      <c r="C3" s="286" t="s">
        <v>42</v>
      </c>
      <c r="D3" s="287"/>
      <c r="E3" s="287"/>
      <c r="F3" s="287"/>
      <c r="G3" s="287"/>
      <c r="H3" s="287"/>
      <c r="I3" s="287"/>
      <c r="J3" s="287"/>
      <c r="K3" s="287"/>
      <c r="L3" s="287"/>
      <c r="M3" s="287"/>
      <c r="N3" s="287"/>
      <c r="O3" s="179"/>
    </row>
    <row r="4" spans="2:15" ht="14.4" x14ac:dyDescent="0.3">
      <c r="B4" s="180"/>
      <c r="C4" s="179"/>
      <c r="D4" s="179"/>
      <c r="E4" s="179"/>
      <c r="F4" s="179"/>
      <c r="G4" s="179"/>
      <c r="H4" s="179"/>
      <c r="I4" s="179"/>
      <c r="J4" s="179"/>
      <c r="K4" s="179"/>
      <c r="L4" s="179"/>
      <c r="M4" s="179"/>
      <c r="N4" s="179"/>
      <c r="O4" s="179"/>
    </row>
    <row r="5" spans="2:15" ht="20.25" customHeight="1" x14ac:dyDescent="0.3">
      <c r="B5" s="288" t="s">
        <v>43</v>
      </c>
      <c r="C5" s="288"/>
      <c r="D5" s="288"/>
      <c r="E5" s="288"/>
      <c r="F5" s="288"/>
      <c r="G5" s="288"/>
      <c r="H5" s="288"/>
      <c r="I5" s="288"/>
      <c r="J5" s="288"/>
      <c r="K5" s="288"/>
      <c r="L5" s="288"/>
      <c r="M5" s="288"/>
      <c r="N5" s="288"/>
      <c r="O5" s="288"/>
    </row>
    <row r="6" spans="2:15" ht="16.5" customHeight="1" x14ac:dyDescent="0.25">
      <c r="C6" s="171"/>
      <c r="D6" s="275"/>
      <c r="E6" s="275"/>
      <c r="F6" s="275"/>
      <c r="G6" s="275"/>
      <c r="H6" s="275"/>
      <c r="I6" s="275"/>
      <c r="J6" s="275"/>
      <c r="K6" s="275"/>
      <c r="L6" s="275"/>
      <c r="M6" s="275"/>
      <c r="N6" s="275"/>
    </row>
    <row r="7" spans="2:15" x14ac:dyDescent="0.25"/>
    <row r="8" spans="2:15" x14ac:dyDescent="0.25"/>
    <row r="9" spans="2:15" x14ac:dyDescent="0.25"/>
    <row r="10" spans="2:15" x14ac:dyDescent="0.25"/>
    <row r="11" spans="2:15" ht="12.75" customHeight="1" x14ac:dyDescent="0.25"/>
    <row r="12" spans="2:15" ht="18.75" customHeight="1"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ht="14.1" customHeight="1" x14ac:dyDescent="0.3">
      <c r="B28" s="279" t="s">
        <v>44</v>
      </c>
      <c r="C28" s="279"/>
      <c r="D28" s="279"/>
      <c r="E28" s="279"/>
      <c r="F28" s="279"/>
      <c r="G28" s="279"/>
      <c r="H28" s="279"/>
      <c r="I28" s="279"/>
      <c r="J28" s="279"/>
      <c r="K28" s="279"/>
      <c r="L28" s="279"/>
      <c r="M28" s="279"/>
      <c r="N28" s="279"/>
      <c r="O28" s="279"/>
    </row>
    <row r="29" spans="2:15" ht="10.5" customHeight="1" x14ac:dyDescent="0.25"/>
    <row r="30" spans="2:15" ht="19.5" customHeight="1" x14ac:dyDescent="0.25"/>
    <row r="31" spans="2:15" x14ac:dyDescent="0.25"/>
    <row r="32" spans="2:15" x14ac:dyDescent="0.25"/>
    <row r="33" spans="2:15" x14ac:dyDescent="0.25"/>
    <row r="34" spans="2:15" x14ac:dyDescent="0.25"/>
    <row r="35" spans="2:15" ht="21.6" customHeight="1" x14ac:dyDescent="0.25"/>
    <row r="36" spans="2:15" ht="14.4" x14ac:dyDescent="0.3">
      <c r="B36" s="280" t="s">
        <v>45</v>
      </c>
      <c r="C36" s="280"/>
      <c r="D36" s="280"/>
      <c r="E36" s="280"/>
      <c r="F36" s="280"/>
      <c r="G36" s="280"/>
      <c r="H36" s="280"/>
      <c r="I36" s="280"/>
      <c r="J36" s="280"/>
      <c r="K36" s="280"/>
      <c r="L36" s="280"/>
      <c r="M36" s="280"/>
      <c r="N36" s="280"/>
      <c r="O36" s="280"/>
    </row>
    <row r="37" spans="2:15" ht="8.1" customHeight="1" x14ac:dyDescent="0.25"/>
    <row r="38" spans="2:15" ht="6.6" customHeight="1" x14ac:dyDescent="0.3">
      <c r="C38" s="172"/>
      <c r="H38" s="173"/>
    </row>
    <row r="39" spans="2:15" ht="30.15" customHeight="1" x14ac:dyDescent="0.25">
      <c r="B39" s="174" t="s">
        <v>46</v>
      </c>
      <c r="C39" s="281" t="s">
        <v>47</v>
      </c>
      <c r="D39" s="281"/>
      <c r="E39" s="281"/>
      <c r="F39" s="281"/>
      <c r="G39" s="281"/>
      <c r="H39" s="281"/>
      <c r="I39" s="281"/>
      <c r="J39" s="281"/>
      <c r="K39" s="281"/>
      <c r="L39" s="281"/>
      <c r="M39" s="281"/>
      <c r="N39" s="281"/>
      <c r="O39" s="175" t="s">
        <v>48</v>
      </c>
    </row>
    <row r="40" spans="2:15" ht="30.15" customHeight="1" x14ac:dyDescent="0.25">
      <c r="B40" s="281"/>
      <c r="C40" s="276" t="s">
        <v>49</v>
      </c>
      <c r="D40" s="277"/>
      <c r="E40" s="277"/>
      <c r="F40" s="277"/>
      <c r="G40" s="277"/>
      <c r="H40" s="277"/>
      <c r="I40" s="277"/>
      <c r="J40" s="277"/>
      <c r="K40" s="277"/>
      <c r="L40" s="277"/>
      <c r="M40" s="277"/>
      <c r="N40" s="278"/>
      <c r="O40" s="195">
        <f>IF(ISBLANK('Facility input'!D7),"-", IF('Facility input'!D7&gt;1, "-", 'Facility input'!D11))</f>
        <v>0</v>
      </c>
    </row>
    <row r="41" spans="2:15" ht="30.15" customHeight="1" x14ac:dyDescent="0.25">
      <c r="B41" s="281"/>
      <c r="C41" s="276" t="s">
        <v>50</v>
      </c>
      <c r="D41" s="277"/>
      <c r="E41" s="277"/>
      <c r="F41" s="277"/>
      <c r="G41" s="277"/>
      <c r="H41" s="277"/>
      <c r="I41" s="277"/>
      <c r="J41" s="277"/>
      <c r="K41" s="277"/>
      <c r="L41" s="277"/>
      <c r="M41" s="277"/>
      <c r="N41" s="278"/>
      <c r="O41" s="195">
        <f>IF(ISBLANK('Facility input'!D7),"-", IF('Facility input'!D7&gt;1, "-", 'Facility input'!D12))</f>
        <v>0</v>
      </c>
    </row>
    <row r="42" spans="2:15" ht="30.15" customHeight="1" x14ac:dyDescent="0.25">
      <c r="B42" s="281"/>
      <c r="C42" s="276" t="s">
        <v>51</v>
      </c>
      <c r="D42" s="277"/>
      <c r="E42" s="277"/>
      <c r="F42" s="277"/>
      <c r="G42" s="277"/>
      <c r="H42" s="277"/>
      <c r="I42" s="277"/>
      <c r="J42" s="277"/>
      <c r="K42" s="277"/>
      <c r="L42" s="277"/>
      <c r="M42" s="277"/>
      <c r="N42" s="278"/>
      <c r="O42" s="195">
        <f>IF(ISBLANK('Facility input'!D7),"-", IF('Facility input'!D7&gt;1, "-", 'Facility input'!D13))</f>
        <v>0</v>
      </c>
    </row>
    <row r="43" spans="2:15" ht="30.15" customHeight="1" x14ac:dyDescent="0.25">
      <c r="B43" s="281"/>
      <c r="C43" s="276" t="s">
        <v>52</v>
      </c>
      <c r="D43" s="277"/>
      <c r="E43" s="277"/>
      <c r="F43" s="277"/>
      <c r="G43" s="277"/>
      <c r="H43" s="277"/>
      <c r="I43" s="277"/>
      <c r="J43" s="277"/>
      <c r="K43" s="277"/>
      <c r="L43" s="277"/>
      <c r="M43" s="277"/>
      <c r="N43" s="278"/>
      <c r="O43" s="195">
        <f>IF(ISBLANK('Facility input'!D7),"-", IF('Facility input'!D7&gt;1, "-", 'Facility input'!D14))</f>
        <v>0</v>
      </c>
    </row>
    <row r="44" spans="2:15" ht="30.15" customHeight="1" x14ac:dyDescent="0.25">
      <c r="B44" s="281"/>
      <c r="C44" s="276" t="s">
        <v>53</v>
      </c>
      <c r="D44" s="277"/>
      <c r="E44" s="277"/>
      <c r="F44" s="277"/>
      <c r="G44" s="277"/>
      <c r="H44" s="277"/>
      <c r="I44" s="277"/>
      <c r="J44" s="277"/>
      <c r="K44" s="277"/>
      <c r="L44" s="277"/>
      <c r="M44" s="277"/>
      <c r="N44" s="278"/>
      <c r="O44" s="195">
        <f>IF(ISBLANK('Facility input'!D7),"-", IF('Facility input'!D7&gt;1, "-", 'Facility input'!D15))</f>
        <v>0</v>
      </c>
    </row>
    <row r="45" spans="2:15" ht="30.15" customHeight="1" x14ac:dyDescent="0.25">
      <c r="B45" s="281"/>
      <c r="C45" s="276" t="s">
        <v>54</v>
      </c>
      <c r="D45" s="277"/>
      <c r="E45" s="277"/>
      <c r="F45" s="277"/>
      <c r="G45" s="277"/>
      <c r="H45" s="277"/>
      <c r="I45" s="277"/>
      <c r="J45" s="277"/>
      <c r="K45" s="277"/>
      <c r="L45" s="277"/>
      <c r="M45" s="277"/>
      <c r="N45" s="278"/>
      <c r="O45" s="195">
        <f>IF(ISBLANK('Facility input'!D7),"-", IF('Facility input'!D7&gt;1, "-", 'Facility input'!D16))</f>
        <v>0</v>
      </c>
    </row>
    <row r="46" spans="2:15" ht="30.15" customHeight="1" x14ac:dyDescent="0.25">
      <c r="B46" s="281"/>
      <c r="C46" s="276" t="s">
        <v>55</v>
      </c>
      <c r="D46" s="277"/>
      <c r="E46" s="277"/>
      <c r="F46" s="277"/>
      <c r="G46" s="277"/>
      <c r="H46" s="277"/>
      <c r="I46" s="277"/>
      <c r="J46" s="277"/>
      <c r="K46" s="277"/>
      <c r="L46" s="277"/>
      <c r="M46" s="277"/>
      <c r="N46" s="278"/>
      <c r="O46" s="195">
        <f>IF(ISBLANK('Facility input'!D7),"-", IF('Facility input'!D7&gt;1, "-", 'Facility input'!D17))</f>
        <v>0</v>
      </c>
    </row>
    <row r="47" spans="2:15" ht="30.15" customHeight="1" x14ac:dyDescent="0.25">
      <c r="B47" s="281"/>
      <c r="C47" s="276" t="s">
        <v>56</v>
      </c>
      <c r="D47" s="277"/>
      <c r="E47" s="277"/>
      <c r="F47" s="277"/>
      <c r="G47" s="277"/>
      <c r="H47" s="277"/>
      <c r="I47" s="277"/>
      <c r="J47" s="277"/>
      <c r="K47" s="277"/>
      <c r="L47" s="277"/>
      <c r="M47" s="277"/>
      <c r="N47" s="278"/>
      <c r="O47" s="195">
        <f>IF(ISBLANK('Facility input'!D7),"-", IF('Facility input'!D7&gt;1, "-", 'Facility input'!D18))</f>
        <v>0</v>
      </c>
    </row>
    <row r="48" spans="2:15" ht="30.15" customHeight="1" x14ac:dyDescent="0.25">
      <c r="B48" s="281"/>
      <c r="C48" s="276" t="s">
        <v>57</v>
      </c>
      <c r="D48" s="277"/>
      <c r="E48" s="277"/>
      <c r="F48" s="277"/>
      <c r="G48" s="277"/>
      <c r="H48" s="277"/>
      <c r="I48" s="277"/>
      <c r="J48" s="277"/>
      <c r="K48" s="277"/>
      <c r="L48" s="277"/>
      <c r="M48" s="277"/>
      <c r="N48" s="278"/>
      <c r="O48" s="195" t="str">
        <f>IF(ISBLANK('Facility input'!D7),"-", IF('Facility input'!D7&gt;1, "-", Calculations!J46))</f>
        <v>0.00</v>
      </c>
    </row>
    <row r="49" spans="2:15" ht="30.15" customHeight="1" x14ac:dyDescent="0.25">
      <c r="B49" s="281"/>
      <c r="C49" s="282" t="s">
        <v>58</v>
      </c>
      <c r="D49" s="282"/>
      <c r="E49" s="282"/>
      <c r="F49" s="282"/>
      <c r="G49" s="282"/>
      <c r="H49" s="282"/>
      <c r="I49" s="282"/>
      <c r="J49" s="282"/>
      <c r="K49" s="282"/>
      <c r="L49" s="282"/>
      <c r="M49" s="282"/>
      <c r="N49" s="282"/>
      <c r="O49" s="195" t="str">
        <f>IF(ISBLANK('Facility input'!D7),"-", IF('Facility input'!D7&gt;1, "-", Calculations!J47))</f>
        <v>0.00</v>
      </c>
    </row>
    <row r="50" spans="2:15" ht="30.15" customHeight="1" x14ac:dyDescent="0.25">
      <c r="B50" s="281"/>
      <c r="C50" s="276" t="s">
        <v>59</v>
      </c>
      <c r="D50" s="277"/>
      <c r="E50" s="277"/>
      <c r="F50" s="277"/>
      <c r="G50" s="277"/>
      <c r="H50" s="277"/>
      <c r="I50" s="277"/>
      <c r="J50" s="277"/>
      <c r="K50" s="277"/>
      <c r="L50" s="277"/>
      <c r="M50" s="277"/>
      <c r="N50" s="278"/>
      <c r="O50" s="195" t="str">
        <f>IF(ISBLANK('Facility input'!D7),"-", IF('Facility input'!D7&gt;1, "-", Calculations!J48))</f>
        <v>0.00</v>
      </c>
    </row>
    <row r="51" spans="2:15" ht="30.15" customHeight="1" x14ac:dyDescent="0.25">
      <c r="B51" s="281"/>
      <c r="C51" s="276" t="s">
        <v>60</v>
      </c>
      <c r="D51" s="277"/>
      <c r="E51" s="277"/>
      <c r="F51" s="277"/>
      <c r="G51" s="277"/>
      <c r="H51" s="277"/>
      <c r="I51" s="277"/>
      <c r="J51" s="277"/>
      <c r="K51" s="277"/>
      <c r="L51" s="277"/>
      <c r="M51" s="277"/>
      <c r="N51" s="278"/>
      <c r="O51" s="195">
        <f>IF(ISBLANK('Facility input'!D7),"-", IF('Facility input'!D7&gt;1, "-",'Facility input'!$D$23))</f>
        <v>0</v>
      </c>
    </row>
    <row r="52" spans="2:15" ht="30.15" customHeight="1" x14ac:dyDescent="0.25">
      <c r="B52" s="281"/>
      <c r="C52" s="276" t="s">
        <v>198</v>
      </c>
      <c r="D52" s="277"/>
      <c r="E52" s="277"/>
      <c r="F52" s="277"/>
      <c r="G52" s="277"/>
      <c r="H52" s="277"/>
      <c r="I52" s="277"/>
      <c r="J52" s="277"/>
      <c r="K52" s="277"/>
      <c r="L52" s="277"/>
      <c r="M52" s="277"/>
      <c r="N52" s="278"/>
      <c r="O52" s="195">
        <f>IF(ISBLANK('Facility input'!D7),"-", IF('Facility input'!D7&gt;1, "-",'Facility input'!$D$24))</f>
        <v>0</v>
      </c>
    </row>
    <row r="53" spans="2:15" ht="30.15" customHeight="1" x14ac:dyDescent="0.25">
      <c r="B53" s="281"/>
      <c r="C53" s="276" t="s">
        <v>199</v>
      </c>
      <c r="D53" s="277"/>
      <c r="E53" s="277"/>
      <c r="F53" s="277"/>
      <c r="G53" s="277"/>
      <c r="H53" s="277"/>
      <c r="I53" s="277"/>
      <c r="J53" s="277"/>
      <c r="K53" s="277"/>
      <c r="L53" s="277"/>
      <c r="M53" s="277"/>
      <c r="N53" s="278"/>
      <c r="O53" s="195">
        <f>IF(ISBLANK('Facility input'!D7),"-", IF('Facility input'!D7&gt;1, "-",'Facility input'!$D$25))</f>
        <v>0</v>
      </c>
    </row>
    <row r="54" spans="2:15" ht="30.15" customHeight="1" x14ac:dyDescent="0.25">
      <c r="B54" s="281"/>
      <c r="C54" s="276" t="s">
        <v>61</v>
      </c>
      <c r="D54" s="277"/>
      <c r="E54" s="277"/>
      <c r="F54" s="277"/>
      <c r="G54" s="277"/>
      <c r="H54" s="277"/>
      <c r="I54" s="277"/>
      <c r="J54" s="277"/>
      <c r="K54" s="277"/>
      <c r="L54" s="277"/>
      <c r="M54" s="277"/>
      <c r="N54" s="278"/>
      <c r="O54" s="195">
        <f>IF(ISBLANK('Facility input'!D7),"-", IF('Facility input'!D7&gt;1, "-",'Facility input'!D26))</f>
        <v>0</v>
      </c>
    </row>
    <row r="55" spans="2:15" ht="30.15" customHeight="1" x14ac:dyDescent="0.25">
      <c r="B55" s="281"/>
      <c r="C55" s="276" t="s">
        <v>62</v>
      </c>
      <c r="D55" s="277"/>
      <c r="E55" s="277"/>
      <c r="F55" s="277"/>
      <c r="G55" s="277"/>
      <c r="H55" s="277"/>
      <c r="I55" s="277"/>
      <c r="J55" s="277"/>
      <c r="K55" s="277"/>
      <c r="L55" s="277"/>
      <c r="M55" s="277"/>
      <c r="N55" s="278"/>
      <c r="O55" s="195" t="str">
        <f>IF(ISBLANK('Facility input'!D7),"-", IF('Facility input'!D7&gt;1, "-", "User entry"))</f>
        <v>User entry</v>
      </c>
    </row>
    <row r="56" spans="2:15" ht="30.15" customHeight="1" x14ac:dyDescent="0.25">
      <c r="B56" s="281"/>
      <c r="C56" s="276" t="s">
        <v>63</v>
      </c>
      <c r="D56" s="277"/>
      <c r="E56" s="277"/>
      <c r="F56" s="277"/>
      <c r="G56" s="277"/>
      <c r="H56" s="277"/>
      <c r="I56" s="277"/>
      <c r="J56" s="277"/>
      <c r="K56" s="277"/>
      <c r="L56" s="277"/>
      <c r="M56" s="277"/>
      <c r="N56" s="278"/>
      <c r="O56" s="195">
        <f>IF(ISBLANK('Facility input'!D7),"-", IF('Facility input'!D7&gt;1, "-", 'Facility input'!$D$29*0.0006784*28))</f>
        <v>0</v>
      </c>
    </row>
    <row r="57" spans="2:15" ht="30.15" customHeight="1" x14ac:dyDescent="0.25">
      <c r="B57" s="281"/>
      <c r="C57" s="276" t="s">
        <v>64</v>
      </c>
      <c r="D57" s="277"/>
      <c r="E57" s="277"/>
      <c r="F57" s="277"/>
      <c r="G57" s="277"/>
      <c r="H57" s="277"/>
      <c r="I57" s="277"/>
      <c r="J57" s="277"/>
      <c r="K57" s="277"/>
      <c r="L57" s="277"/>
      <c r="M57" s="277"/>
      <c r="N57" s="278"/>
      <c r="O57" s="195">
        <f>IF(ISBLANK('Facility input'!D7),"-", IF('Facility input'!D7&gt;1, "-",'Facility input'!$D$28*0.0006784*28))</f>
        <v>0</v>
      </c>
    </row>
    <row r="58" spans="2:15" ht="12.15" customHeight="1" x14ac:dyDescent="0.25"/>
    <row r="59" spans="2:15" ht="42.75" customHeight="1" x14ac:dyDescent="0.25">
      <c r="B59" s="286" t="s">
        <v>192</v>
      </c>
      <c r="C59" s="286"/>
      <c r="D59" s="286"/>
      <c r="E59" s="286"/>
      <c r="F59" s="286"/>
      <c r="G59" s="286"/>
      <c r="H59" s="286"/>
      <c r="I59" s="286"/>
      <c r="J59" s="286"/>
      <c r="K59" s="286"/>
      <c r="L59" s="286"/>
      <c r="M59" s="286"/>
      <c r="N59" s="286"/>
      <c r="O59" s="286"/>
    </row>
    <row r="60" spans="2:15" ht="12.75" customHeight="1" x14ac:dyDescent="0.25"/>
    <row r="61" spans="2:15" ht="30.15" customHeight="1" x14ac:dyDescent="0.25"/>
    <row r="62" spans="2:15" ht="30.15" customHeight="1" x14ac:dyDescent="0.25"/>
    <row r="63" spans="2:15" ht="30.15" customHeight="1" x14ac:dyDescent="0.25"/>
    <row r="64" spans="2:15" ht="30.15" customHeight="1" x14ac:dyDescent="0.25"/>
    <row r="65" spans="2:23" ht="30.15" customHeight="1" x14ac:dyDescent="0.25"/>
    <row r="66" spans="2:23" ht="30.15" customHeight="1" x14ac:dyDescent="0.25"/>
    <row r="67" spans="2:23" ht="12.75" customHeight="1" x14ac:dyDescent="0.25"/>
    <row r="68" spans="2:23" ht="24" customHeight="1" x14ac:dyDescent="0.25">
      <c r="B68" s="283" t="s">
        <v>66</v>
      </c>
      <c r="C68" s="283"/>
      <c r="D68" s="283"/>
      <c r="E68" s="283"/>
      <c r="F68" s="283"/>
      <c r="G68" s="283"/>
      <c r="H68" s="283"/>
      <c r="I68" s="283"/>
      <c r="J68" s="283"/>
      <c r="K68" s="283"/>
      <c r="L68" s="283"/>
      <c r="M68" s="283"/>
      <c r="N68" s="283"/>
      <c r="O68" s="283"/>
    </row>
    <row r="69" spans="2:23" ht="30.15" customHeight="1" x14ac:dyDescent="0.25">
      <c r="B69" s="282" t="s">
        <v>67</v>
      </c>
      <c r="C69" s="282"/>
      <c r="D69" s="282"/>
      <c r="E69" s="282"/>
      <c r="F69" s="282"/>
      <c r="G69" s="282"/>
      <c r="H69" s="282"/>
      <c r="I69" s="282"/>
      <c r="J69" s="282"/>
      <c r="K69" s="282"/>
      <c r="L69" s="282"/>
      <c r="M69" s="282"/>
      <c r="N69" s="282"/>
      <c r="O69" s="176" t="str">
        <f>IF(ISBLANK('Facility input'!D7),"-", IF('Facility input'!D7&lt;&gt;1, "-", 'Facility input'!D43))</f>
        <v/>
      </c>
    </row>
    <row r="70" spans="2:23" ht="8.4" customHeight="1" x14ac:dyDescent="0.25"/>
    <row r="71" spans="2:23" ht="30.15" customHeight="1" x14ac:dyDescent="0.25"/>
    <row r="72" spans="2:23" ht="9.75" customHeight="1" x14ac:dyDescent="0.25"/>
    <row r="73" spans="2:23" ht="30.15" hidden="1" customHeight="1" x14ac:dyDescent="0.25"/>
    <row r="75" spans="2:23" ht="18" hidden="1" customHeight="1" x14ac:dyDescent="0.25">
      <c r="P75" s="152"/>
      <c r="Q75" s="152"/>
      <c r="R75" s="152"/>
      <c r="S75" s="152"/>
      <c r="T75" s="152"/>
      <c r="U75" s="152"/>
      <c r="V75" s="89"/>
      <c r="W75" s="89"/>
    </row>
    <row r="76" spans="2:23" ht="14.4" hidden="1" x14ac:dyDescent="0.25">
      <c r="P76" s="152"/>
      <c r="Q76" s="152"/>
      <c r="R76" s="152"/>
      <c r="S76" s="152"/>
      <c r="T76" s="152"/>
      <c r="U76" s="152"/>
      <c r="V76" s="89"/>
      <c r="W76" s="89"/>
    </row>
    <row r="97" x14ac:dyDescent="0.25"/>
    <row r="98" ht="30.15" hidden="1" customHeight="1" x14ac:dyDescent="0.25"/>
  </sheetData>
  <sheetProtection algorithmName="SHA-256" hashValue="PXyGwvFSF0QeMndMUF98NNrn65IgfqFSS8S12Big8Ds=" saltValue="TN789+pAi26qZV4quPY1EQ==" spinCount="100000" sheet="1" objects="1" scenarios="1"/>
  <mergeCells count="29">
    <mergeCell ref="B69:N69"/>
    <mergeCell ref="B68:O68"/>
    <mergeCell ref="B2:O2"/>
    <mergeCell ref="C3:N3"/>
    <mergeCell ref="C42:N42"/>
    <mergeCell ref="C43:N43"/>
    <mergeCell ref="C45:N45"/>
    <mergeCell ref="B40:B57"/>
    <mergeCell ref="C57:N57"/>
    <mergeCell ref="C48:N48"/>
    <mergeCell ref="C49:N49"/>
    <mergeCell ref="C50:N50"/>
    <mergeCell ref="C51:N51"/>
    <mergeCell ref="C44:N44"/>
    <mergeCell ref="B5:O5"/>
    <mergeCell ref="B59:O59"/>
    <mergeCell ref="C56:N56"/>
    <mergeCell ref="B28:O28"/>
    <mergeCell ref="B36:O36"/>
    <mergeCell ref="C39:N39"/>
    <mergeCell ref="C53:N53"/>
    <mergeCell ref="C54:N54"/>
    <mergeCell ref="D6:N6"/>
    <mergeCell ref="C46:N46"/>
    <mergeCell ref="C55:N55"/>
    <mergeCell ref="C47:N47"/>
    <mergeCell ref="C40:N40"/>
    <mergeCell ref="C41:N41"/>
    <mergeCell ref="C52:N52"/>
  </mergeCells>
  <pageMargins left="0.70866141732283472" right="0.70866141732283472" top="0.74803149606299213" bottom="0.74803149606299213" header="0.31496062992125984" footer="0.31496062992125984"/>
  <pageSetup paperSize="8" scale="71" orientation="portrait" r:id="rId1"/>
  <headerFooter>
    <oddHeader>&amp;LNGER wastewater (Industrial) calculator 1.5 Sheet: 4&amp;R&amp;A</oddHeader>
    <oddFooter>&amp;L© Commonwealth of Australia (2014) Clean Energy Regulator.&amp;RISBN: 978-1-921299-80-3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XFC100"/>
  <sheetViews>
    <sheetView showRowColHeaders="0" zoomScaleNormal="100" workbookViewId="0"/>
  </sheetViews>
  <sheetFormatPr defaultColWidth="0" defaultRowHeight="13.2" zeroHeight="1" x14ac:dyDescent="0.25"/>
  <cols>
    <col min="1" max="14" width="9.88671875" style="103" customWidth="1"/>
    <col min="15" max="15" width="13.5546875" style="103" customWidth="1"/>
    <col min="16" max="16" width="9.88671875" style="103" customWidth="1"/>
    <col min="17" max="19" width="9.109375" style="103" hidden="1"/>
    <col min="20" max="20" width="14.109375" style="103" hidden="1"/>
    <col min="21" max="16383" width="9.109375" style="103" hidden="1"/>
    <col min="16384" max="16384" width="11.109375" style="103" hidden="1"/>
  </cols>
  <sheetData>
    <row r="1" spans="2:15" ht="109.5" customHeight="1" x14ac:dyDescent="0.25"/>
    <row r="2" spans="2:15" ht="30.15" customHeight="1" x14ac:dyDescent="0.25"/>
    <row r="3" spans="2:15" ht="25.5" customHeight="1" x14ac:dyDescent="0.25">
      <c r="B3" s="284" t="s">
        <v>193</v>
      </c>
      <c r="C3" s="285"/>
      <c r="D3" s="285"/>
      <c r="E3" s="285"/>
      <c r="F3" s="285"/>
      <c r="G3" s="285"/>
      <c r="H3" s="285"/>
      <c r="I3" s="285"/>
      <c r="J3" s="285"/>
      <c r="K3" s="285"/>
      <c r="L3" s="285"/>
      <c r="M3" s="285"/>
      <c r="N3" s="285"/>
      <c r="O3" s="285"/>
    </row>
    <row r="4" spans="2:15" ht="14.4" x14ac:dyDescent="0.3">
      <c r="B4" s="180"/>
      <c r="C4" s="286" t="s">
        <v>68</v>
      </c>
      <c r="D4" s="287"/>
      <c r="E4" s="287"/>
      <c r="F4" s="287"/>
      <c r="G4" s="287"/>
      <c r="H4" s="287"/>
      <c r="I4" s="287"/>
      <c r="J4" s="287"/>
      <c r="K4" s="287"/>
      <c r="L4" s="287"/>
      <c r="M4" s="287"/>
      <c r="N4" s="287"/>
      <c r="O4" s="179"/>
    </row>
    <row r="5" spans="2:15" ht="13.5" customHeight="1" x14ac:dyDescent="0.3">
      <c r="B5" s="180"/>
      <c r="C5" s="179"/>
      <c r="D5" s="179"/>
      <c r="E5" s="179"/>
      <c r="F5" s="179"/>
      <c r="G5" s="179"/>
      <c r="H5" s="179"/>
      <c r="I5" s="179"/>
      <c r="J5" s="179"/>
      <c r="K5" s="179"/>
      <c r="L5" s="179"/>
      <c r="M5" s="179"/>
      <c r="N5" s="179"/>
      <c r="O5" s="179"/>
    </row>
    <row r="6" spans="2:15" ht="30" customHeight="1" x14ac:dyDescent="0.25">
      <c r="B6" s="293" t="s">
        <v>43</v>
      </c>
      <c r="C6" s="293"/>
      <c r="D6" s="293"/>
      <c r="E6" s="293"/>
      <c r="F6" s="293"/>
      <c r="G6" s="293"/>
      <c r="H6" s="293"/>
      <c r="I6" s="293"/>
      <c r="J6" s="293"/>
      <c r="K6" s="293"/>
      <c r="L6" s="293"/>
      <c r="M6" s="293"/>
      <c r="N6" s="293"/>
      <c r="O6" s="293"/>
    </row>
    <row r="7" spans="2:15" ht="9.9" customHeight="1" x14ac:dyDescent="0.3">
      <c r="C7" s="172"/>
      <c r="F7" s="173"/>
    </row>
    <row r="8" spans="2:15" ht="5.0999999999999996" customHeight="1" x14ac:dyDescent="0.25"/>
    <row r="9" spans="2:15" x14ac:dyDescent="0.25"/>
    <row r="10" spans="2:15" x14ac:dyDescent="0.25"/>
    <row r="11" spans="2:15" x14ac:dyDescent="0.25"/>
    <row r="12" spans="2:15"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x14ac:dyDescent="0.25"/>
    <row r="29" spans="2:15" x14ac:dyDescent="0.25"/>
    <row r="30" spans="2:15" x14ac:dyDescent="0.25"/>
    <row r="31" spans="2:15" ht="14.4" x14ac:dyDescent="0.3">
      <c r="B31" s="280" t="s">
        <v>69</v>
      </c>
      <c r="C31" s="280"/>
      <c r="D31" s="280"/>
      <c r="E31" s="280"/>
      <c r="F31" s="280"/>
      <c r="G31" s="280"/>
      <c r="H31" s="280"/>
      <c r="I31" s="280"/>
      <c r="J31" s="280"/>
      <c r="K31" s="280"/>
      <c r="L31" s="280"/>
      <c r="M31" s="280"/>
      <c r="N31" s="280"/>
      <c r="O31" s="280"/>
    </row>
    <row r="32" spans="2:15" x14ac:dyDescent="0.25"/>
    <row r="33" spans="2:15" x14ac:dyDescent="0.25"/>
    <row r="34" spans="2:15" x14ac:dyDescent="0.25"/>
    <row r="35" spans="2:15" x14ac:dyDescent="0.25"/>
    <row r="36" spans="2:15" x14ac:dyDescent="0.25"/>
    <row r="37" spans="2:15" x14ac:dyDescent="0.25"/>
    <row r="38" spans="2:15" x14ac:dyDescent="0.25"/>
    <row r="39" spans="2:15" x14ac:dyDescent="0.25"/>
    <row r="40" spans="2:15" ht="14.4" x14ac:dyDescent="0.3">
      <c r="B40" s="280" t="s">
        <v>45</v>
      </c>
      <c r="C40" s="280"/>
      <c r="D40" s="280"/>
      <c r="E40" s="280"/>
      <c r="F40" s="280"/>
      <c r="G40" s="280"/>
      <c r="H40" s="280"/>
      <c r="I40" s="280"/>
      <c r="J40" s="280"/>
      <c r="K40" s="280"/>
      <c r="L40" s="280"/>
      <c r="M40" s="280"/>
      <c r="N40" s="280"/>
      <c r="O40" s="280"/>
    </row>
    <row r="41" spans="2:15" x14ac:dyDescent="0.25"/>
    <row r="42" spans="2:15" ht="30.15" customHeight="1" x14ac:dyDescent="0.25">
      <c r="B42" s="174" t="s">
        <v>46</v>
      </c>
      <c r="C42" s="281" t="s">
        <v>47</v>
      </c>
      <c r="D42" s="281"/>
      <c r="E42" s="281"/>
      <c r="F42" s="281"/>
      <c r="G42" s="281"/>
      <c r="H42" s="281"/>
      <c r="I42" s="281"/>
      <c r="J42" s="281"/>
      <c r="K42" s="281"/>
      <c r="L42" s="281"/>
      <c r="M42" s="281"/>
      <c r="N42" s="281"/>
      <c r="O42" s="175" t="s">
        <v>70</v>
      </c>
    </row>
    <row r="43" spans="2:15" ht="30.15" customHeight="1" x14ac:dyDescent="0.25">
      <c r="B43" s="290"/>
      <c r="C43" s="276" t="s">
        <v>49</v>
      </c>
      <c r="D43" s="277"/>
      <c r="E43" s="277"/>
      <c r="F43" s="277"/>
      <c r="G43" s="277"/>
      <c r="H43" s="277"/>
      <c r="I43" s="277"/>
      <c r="J43" s="277"/>
      <c r="K43" s="277"/>
      <c r="L43" s="277"/>
      <c r="M43" s="277"/>
      <c r="N43" s="278"/>
      <c r="O43" s="195" t="str">
        <f>IF(ISBLANK('Facility input'!D7),"-", IF('Facility input'!D7=1, "-", 'Facility input'!D11))</f>
        <v>-</v>
      </c>
    </row>
    <row r="44" spans="2:15" ht="30.15" customHeight="1" x14ac:dyDescent="0.25">
      <c r="B44" s="291"/>
      <c r="C44" s="276" t="s">
        <v>50</v>
      </c>
      <c r="D44" s="277"/>
      <c r="E44" s="277"/>
      <c r="F44" s="277"/>
      <c r="G44" s="277"/>
      <c r="H44" s="277"/>
      <c r="I44" s="277"/>
      <c r="J44" s="277"/>
      <c r="K44" s="277"/>
      <c r="L44" s="277"/>
      <c r="M44" s="277"/>
      <c r="N44" s="278"/>
      <c r="O44" s="195" t="str">
        <f>IF(ISBLANK('Facility input'!D7),"-", IF('Facility input'!D7=1, "-",'Facility input'!D12))</f>
        <v>-</v>
      </c>
    </row>
    <row r="45" spans="2:15" ht="30.15" customHeight="1" x14ac:dyDescent="0.25">
      <c r="B45" s="291"/>
      <c r="C45" s="276" t="s">
        <v>51</v>
      </c>
      <c r="D45" s="277"/>
      <c r="E45" s="277"/>
      <c r="F45" s="277"/>
      <c r="G45" s="277"/>
      <c r="H45" s="277"/>
      <c r="I45" s="277"/>
      <c r="J45" s="277"/>
      <c r="K45" s="277"/>
      <c r="L45" s="277"/>
      <c r="M45" s="277"/>
      <c r="N45" s="278"/>
      <c r="O45" s="195" t="str">
        <f>IF(ISBLANK('Facility input'!D7),"-", IF('Facility input'!D7=1, "-",'Facility input'!D13))</f>
        <v>-</v>
      </c>
    </row>
    <row r="46" spans="2:15" ht="30.15" customHeight="1" x14ac:dyDescent="0.25">
      <c r="B46" s="291"/>
      <c r="C46" s="276" t="s">
        <v>52</v>
      </c>
      <c r="D46" s="277"/>
      <c r="E46" s="277"/>
      <c r="F46" s="277"/>
      <c r="G46" s="277"/>
      <c r="H46" s="277"/>
      <c r="I46" s="277"/>
      <c r="J46" s="277"/>
      <c r="K46" s="277"/>
      <c r="L46" s="277"/>
      <c r="M46" s="277"/>
      <c r="N46" s="278"/>
      <c r="O46" s="195" t="str">
        <f>IF(ISBLANK('Facility input'!D7),"-", IF('Facility input'!D7=1, "-",'Facility input'!D14))</f>
        <v>-</v>
      </c>
    </row>
    <row r="47" spans="2:15" ht="30.15" customHeight="1" x14ac:dyDescent="0.25">
      <c r="B47" s="291"/>
      <c r="C47" s="276" t="s">
        <v>53</v>
      </c>
      <c r="D47" s="277"/>
      <c r="E47" s="277"/>
      <c r="F47" s="277"/>
      <c r="G47" s="277"/>
      <c r="H47" s="277"/>
      <c r="I47" s="277"/>
      <c r="J47" s="277"/>
      <c r="K47" s="277"/>
      <c r="L47" s="277"/>
      <c r="M47" s="277"/>
      <c r="N47" s="278"/>
      <c r="O47" s="195" t="str">
        <f>IF(ISBLANK('Facility input'!D7),"-", IF('Facility input'!D7=1, "-", 'Facility input'!D15))</f>
        <v>-</v>
      </c>
    </row>
    <row r="48" spans="2:15" ht="30.15" customHeight="1" x14ac:dyDescent="0.25">
      <c r="B48" s="291"/>
      <c r="C48" s="276" t="s">
        <v>54</v>
      </c>
      <c r="D48" s="277"/>
      <c r="E48" s="277"/>
      <c r="F48" s="277"/>
      <c r="G48" s="277"/>
      <c r="H48" s="277"/>
      <c r="I48" s="277"/>
      <c r="J48" s="277"/>
      <c r="K48" s="277"/>
      <c r="L48" s="277"/>
      <c r="M48" s="277"/>
      <c r="N48" s="278"/>
      <c r="O48" s="195" t="str">
        <f>IF(ISBLANK('Facility input'!D7),"-", IF('Facility input'!D7=1, "-",'Facility input'!D16))</f>
        <v>-</v>
      </c>
    </row>
    <row r="49" spans="2:20" ht="30.15" customHeight="1" x14ac:dyDescent="0.25">
      <c r="B49" s="291"/>
      <c r="C49" s="276" t="s">
        <v>55</v>
      </c>
      <c r="D49" s="277"/>
      <c r="E49" s="277"/>
      <c r="F49" s="277"/>
      <c r="G49" s="277"/>
      <c r="H49" s="277"/>
      <c r="I49" s="277"/>
      <c r="J49" s="277"/>
      <c r="K49" s="277"/>
      <c r="L49" s="277"/>
      <c r="M49" s="277"/>
      <c r="N49" s="278"/>
      <c r="O49" s="195" t="str">
        <f>IF(ISBLANK('Facility input'!D7),"-", IF('Facility input'!D7=1, "-",'Facility input'!D17))</f>
        <v>-</v>
      </c>
    </row>
    <row r="50" spans="2:20" ht="30.15" customHeight="1" x14ac:dyDescent="0.25">
      <c r="B50" s="291"/>
      <c r="C50" s="276" t="s">
        <v>56</v>
      </c>
      <c r="D50" s="277"/>
      <c r="E50" s="277"/>
      <c r="F50" s="277"/>
      <c r="G50" s="277"/>
      <c r="H50" s="277"/>
      <c r="I50" s="277"/>
      <c r="J50" s="277"/>
      <c r="K50" s="277"/>
      <c r="L50" s="277"/>
      <c r="M50" s="277"/>
      <c r="N50" s="278"/>
      <c r="O50" s="195" t="str">
        <f>IF(ISBLANK('Facility input'!D7),"-", IF('Facility input'!D7=1, "-",'Facility input'!D18))</f>
        <v>-</v>
      </c>
    </row>
    <row r="51" spans="2:20" ht="30.15" customHeight="1" x14ac:dyDescent="0.3">
      <c r="B51" s="291"/>
      <c r="C51" s="276" t="s">
        <v>71</v>
      </c>
      <c r="D51" s="277"/>
      <c r="E51" s="277"/>
      <c r="F51" s="277"/>
      <c r="G51" s="277"/>
      <c r="H51" s="277"/>
      <c r="I51" s="277"/>
      <c r="J51" s="277"/>
      <c r="K51" s="277"/>
      <c r="L51" s="277"/>
      <c r="M51" s="277"/>
      <c r="N51" s="278"/>
      <c r="O51" s="195" t="str">
        <f>IF(ISBLANK('Facility input'!D7),"-", IF('Facility input'!D7=1, "-", Calculations!J45))</f>
        <v>-</v>
      </c>
      <c r="P51" s="177"/>
      <c r="T51" s="189"/>
    </row>
    <row r="52" spans="2:20" ht="30.15" customHeight="1" x14ac:dyDescent="0.25">
      <c r="B52" s="291"/>
      <c r="C52" s="276" t="s">
        <v>57</v>
      </c>
      <c r="D52" s="277"/>
      <c r="E52" s="277"/>
      <c r="F52" s="277"/>
      <c r="G52" s="277"/>
      <c r="H52" s="277"/>
      <c r="I52" s="277"/>
      <c r="J52" s="277"/>
      <c r="K52" s="277"/>
      <c r="L52" s="277"/>
      <c r="M52" s="277"/>
      <c r="N52" s="278"/>
      <c r="O52" s="195" t="str">
        <f>IF(ISBLANK('Facility input'!D7),"-", IF('Facility input'!D7=1, "-", Calculations!J46))</f>
        <v>-</v>
      </c>
      <c r="P52" s="124"/>
    </row>
    <row r="53" spans="2:20" ht="30.15" customHeight="1" x14ac:dyDescent="0.3">
      <c r="B53" s="291"/>
      <c r="C53" s="276" t="s">
        <v>72</v>
      </c>
      <c r="D53" s="277"/>
      <c r="E53" s="277"/>
      <c r="F53" s="277"/>
      <c r="G53" s="277"/>
      <c r="H53" s="277"/>
      <c r="I53" s="277"/>
      <c r="J53" s="277"/>
      <c r="K53" s="277"/>
      <c r="L53" s="277"/>
      <c r="M53" s="277"/>
      <c r="N53" s="278"/>
      <c r="O53" s="195" t="str">
        <f>IF(ISBLANK('Facility input'!D7),"-", IF('Facility input'!D7=1, "-", Calculations!J54))</f>
        <v>-</v>
      </c>
      <c r="P53" s="177"/>
      <c r="T53" s="124"/>
    </row>
    <row r="54" spans="2:20" ht="30.15" customHeight="1" x14ac:dyDescent="0.25">
      <c r="B54" s="291"/>
      <c r="C54" s="276" t="s">
        <v>59</v>
      </c>
      <c r="D54" s="277"/>
      <c r="E54" s="277"/>
      <c r="F54" s="277"/>
      <c r="G54" s="277"/>
      <c r="H54" s="277"/>
      <c r="I54" s="277"/>
      <c r="J54" s="277"/>
      <c r="K54" s="277"/>
      <c r="L54" s="277"/>
      <c r="M54" s="277"/>
      <c r="N54" s="278"/>
      <c r="O54" s="195" t="str">
        <f>IF(ISBLANK('Facility input'!D7),"-", IF('Facility input'!D7=1, "-", Calculations!J48))</f>
        <v>-</v>
      </c>
      <c r="P54" s="124"/>
    </row>
    <row r="55" spans="2:20" ht="30.15" customHeight="1" x14ac:dyDescent="0.25">
      <c r="B55" s="291"/>
      <c r="C55" s="276" t="s">
        <v>60</v>
      </c>
      <c r="D55" s="277"/>
      <c r="E55" s="277"/>
      <c r="F55" s="277"/>
      <c r="G55" s="277"/>
      <c r="H55" s="277"/>
      <c r="I55" s="277"/>
      <c r="J55" s="277"/>
      <c r="K55" s="277"/>
      <c r="L55" s="277"/>
      <c r="M55" s="277"/>
      <c r="N55" s="278"/>
      <c r="O55" s="195" t="str">
        <f>IF(ISBLANK('Facility input'!D7),"-", IF('Facility input'!D7=1, "-", Calculations!J43))</f>
        <v>-</v>
      </c>
      <c r="P55" s="124"/>
    </row>
    <row r="56" spans="2:20" ht="30.15" customHeight="1" x14ac:dyDescent="0.25">
      <c r="B56" s="291"/>
      <c r="C56" s="276" t="s">
        <v>198</v>
      </c>
      <c r="D56" s="277"/>
      <c r="E56" s="277"/>
      <c r="F56" s="277"/>
      <c r="G56" s="277"/>
      <c r="H56" s="277"/>
      <c r="I56" s="277"/>
      <c r="J56" s="277"/>
      <c r="K56" s="277"/>
      <c r="L56" s="277"/>
      <c r="M56" s="277"/>
      <c r="N56" s="278"/>
      <c r="O56" s="195" t="str">
        <f>IF(ISBLANK('Facility input'!D8),"-", IF('Facility input'!D8=1, "-", Calculations!J44))</f>
        <v>-</v>
      </c>
      <c r="P56" s="124"/>
    </row>
    <row r="57" spans="2:20" ht="30.15" customHeight="1" x14ac:dyDescent="0.25">
      <c r="B57" s="291"/>
      <c r="C57" s="276" t="s">
        <v>199</v>
      </c>
      <c r="D57" s="277"/>
      <c r="E57" s="277"/>
      <c r="F57" s="277"/>
      <c r="G57" s="277"/>
      <c r="H57" s="277"/>
      <c r="I57" s="277"/>
      <c r="J57" s="277"/>
      <c r="K57" s="277"/>
      <c r="L57" s="277"/>
      <c r="M57" s="277"/>
      <c r="N57" s="278"/>
      <c r="O57" s="195" t="str">
        <f>IF(ISBLANK('Facility input'!D7),"-", IF('Facility input'!D7=1, "-", Calculations!J49))</f>
        <v>-</v>
      </c>
      <c r="P57" s="124"/>
    </row>
    <row r="58" spans="2:20" ht="30.15" customHeight="1" x14ac:dyDescent="0.25">
      <c r="B58" s="291"/>
      <c r="C58" s="276" t="s">
        <v>61</v>
      </c>
      <c r="D58" s="277"/>
      <c r="E58" s="277"/>
      <c r="F58" s="277"/>
      <c r="G58" s="277"/>
      <c r="H58" s="277"/>
      <c r="I58" s="277"/>
      <c r="J58" s="277"/>
      <c r="K58" s="277"/>
      <c r="L58" s="277"/>
      <c r="M58" s="277"/>
      <c r="N58" s="278"/>
      <c r="O58" s="195" t="str">
        <f>IF(ISBLANK('Facility input'!D7),"-", IF('Facility input'!D7=1, "-", Calculations!J50))</f>
        <v>-</v>
      </c>
      <c r="P58" s="124"/>
    </row>
    <row r="59" spans="2:20" ht="30.15" customHeight="1" x14ac:dyDescent="0.3">
      <c r="B59" s="291"/>
      <c r="C59" s="276" t="s">
        <v>73</v>
      </c>
      <c r="D59" s="277"/>
      <c r="E59" s="277"/>
      <c r="F59" s="277"/>
      <c r="G59" s="277"/>
      <c r="H59" s="277"/>
      <c r="I59" s="277"/>
      <c r="J59" s="277"/>
      <c r="K59" s="277"/>
      <c r="L59" s="277"/>
      <c r="M59" s="277"/>
      <c r="N59" s="278"/>
      <c r="O59" s="195" t="str">
        <f>IF(ISBLANK('Facility input'!D7),"-", IF('Facility input'!D7=1, "-", Calculations!J55))</f>
        <v>-</v>
      </c>
      <c r="P59" s="177"/>
    </row>
    <row r="60" spans="2:20" ht="30.15" customHeight="1" x14ac:dyDescent="0.25">
      <c r="B60" s="291"/>
      <c r="C60" s="276" t="s">
        <v>62</v>
      </c>
      <c r="D60" s="277"/>
      <c r="E60" s="277"/>
      <c r="F60" s="277"/>
      <c r="G60" s="277"/>
      <c r="H60" s="277"/>
      <c r="I60" s="277"/>
      <c r="J60" s="277"/>
      <c r="K60" s="277"/>
      <c r="L60" s="277"/>
      <c r="M60" s="277"/>
      <c r="N60" s="278"/>
      <c r="O60" s="195" t="str">
        <f>IF(ISBLANK('Facility input'!D7),"-", IF('Facility input'!D7=1, "-", "User entry"))</f>
        <v>-</v>
      </c>
      <c r="P60" s="124"/>
    </row>
    <row r="61" spans="2:20" ht="30.15" customHeight="1" x14ac:dyDescent="0.3">
      <c r="B61" s="291"/>
      <c r="C61" s="276" t="s">
        <v>63</v>
      </c>
      <c r="D61" s="277"/>
      <c r="E61" s="277"/>
      <c r="F61" s="277"/>
      <c r="G61" s="277"/>
      <c r="H61" s="277"/>
      <c r="I61" s="277"/>
      <c r="J61" s="277"/>
      <c r="K61" s="277"/>
      <c r="L61" s="277"/>
      <c r="M61" s="277"/>
      <c r="N61" s="278"/>
      <c r="O61" s="195" t="str">
        <f>IF(ISBLANK('Facility input'!D7),"-", IF('Facility input'!D7=1, "-", Calculations!J52))</f>
        <v>-</v>
      </c>
      <c r="P61" s="177"/>
    </row>
    <row r="62" spans="2:20" ht="30.15" customHeight="1" x14ac:dyDescent="0.3">
      <c r="B62" s="292"/>
      <c r="C62" s="276" t="s">
        <v>64</v>
      </c>
      <c r="D62" s="277"/>
      <c r="E62" s="277"/>
      <c r="F62" s="277"/>
      <c r="G62" s="277"/>
      <c r="H62" s="277"/>
      <c r="I62" s="277"/>
      <c r="J62" s="277"/>
      <c r="K62" s="277"/>
      <c r="L62" s="277"/>
      <c r="M62" s="277"/>
      <c r="N62" s="278"/>
      <c r="O62" s="195" t="str">
        <f>IF(ISBLANK('Facility input'!D7),"-", IF('Facility input'!D7=1, "-", Calculations!J53))</f>
        <v>-</v>
      </c>
      <c r="P62" s="177"/>
    </row>
    <row r="63" spans="2:20" ht="15.75" customHeight="1" x14ac:dyDescent="0.25"/>
    <row r="64" spans="2:20" ht="30.15" customHeight="1" x14ac:dyDescent="0.25">
      <c r="B64" s="286" t="s">
        <v>65</v>
      </c>
      <c r="C64" s="289"/>
      <c r="D64" s="289"/>
      <c r="E64" s="289"/>
      <c r="F64" s="289"/>
      <c r="G64" s="289"/>
      <c r="H64" s="289"/>
      <c r="I64" s="289"/>
      <c r="J64" s="289"/>
      <c r="K64" s="289"/>
      <c r="L64" s="289"/>
      <c r="M64" s="289"/>
      <c r="N64" s="289"/>
      <c r="O64" s="289"/>
      <c r="P64" s="152"/>
    </row>
    <row r="65" spans="2:23" ht="30" customHeight="1" x14ac:dyDescent="0.25">
      <c r="B65" s="289"/>
      <c r="C65" s="289"/>
      <c r="D65" s="289"/>
      <c r="E65" s="289"/>
      <c r="F65" s="289"/>
      <c r="G65" s="289"/>
      <c r="H65" s="289"/>
      <c r="I65" s="289"/>
      <c r="J65" s="289"/>
      <c r="K65" s="289"/>
      <c r="L65" s="289"/>
      <c r="M65" s="289"/>
      <c r="N65" s="289"/>
      <c r="O65" s="289"/>
      <c r="P65" s="152"/>
    </row>
    <row r="66" spans="2:23" ht="22.5" customHeight="1" x14ac:dyDescent="0.25"/>
    <row r="67" spans="2:23" ht="30.15" customHeight="1" x14ac:dyDescent="0.25"/>
    <row r="68" spans="2:23" ht="30.15" customHeight="1" x14ac:dyDescent="0.25"/>
    <row r="69" spans="2:23" ht="30.15" customHeight="1" x14ac:dyDescent="0.25"/>
    <row r="70" spans="2:23" ht="30.15" customHeight="1" x14ac:dyDescent="0.25"/>
    <row r="71" spans="2:23" ht="30.15" customHeight="1" x14ac:dyDescent="0.25"/>
    <row r="72" spans="2:23" ht="30.15" customHeight="1" x14ac:dyDescent="0.25"/>
    <row r="73" spans="2:23" ht="12.6" customHeight="1" x14ac:dyDescent="0.25"/>
    <row r="74" spans="2:23" ht="30.15" customHeight="1" x14ac:dyDescent="0.25">
      <c r="B74" s="190" t="s">
        <v>74</v>
      </c>
      <c r="C74" s="191"/>
      <c r="D74" s="191"/>
      <c r="E74" s="191"/>
      <c r="F74" s="191"/>
      <c r="G74" s="191"/>
      <c r="H74" s="191"/>
      <c r="I74" s="191"/>
      <c r="J74" s="191"/>
      <c r="K74" s="191"/>
      <c r="L74" s="191"/>
      <c r="M74" s="191"/>
      <c r="N74" s="192"/>
      <c r="O74" s="176" t="str">
        <f>IF(ISBLANK('Facility input'!D7),"-", IF('Facility input'!D7=1, "-",'Facility input'!D43))</f>
        <v>-</v>
      </c>
    </row>
    <row r="75" spans="2:23" ht="12.15" customHeight="1" x14ac:dyDescent="0.25"/>
    <row r="76" spans="2:23" ht="43.5" customHeight="1" x14ac:dyDescent="0.25"/>
    <row r="77" spans="2:23" ht="18" hidden="1" customHeight="1" x14ac:dyDescent="0.25">
      <c r="Q77" s="152"/>
      <c r="R77" s="152"/>
      <c r="S77" s="152"/>
      <c r="T77" s="152"/>
      <c r="U77" s="152"/>
      <c r="V77" s="89"/>
      <c r="W77" s="89"/>
    </row>
    <row r="78" spans="2:23" ht="14.4" hidden="1" x14ac:dyDescent="0.25">
      <c r="Q78" s="152"/>
      <c r="R78" s="152"/>
      <c r="S78" s="152"/>
      <c r="T78" s="152"/>
      <c r="U78" s="152"/>
      <c r="V78" s="89"/>
      <c r="W78" s="89"/>
    </row>
    <row r="85" spans="3:3" ht="18" hidden="1" x14ac:dyDescent="0.25">
      <c r="C85" s="172"/>
    </row>
    <row r="97" x14ac:dyDescent="0.25"/>
    <row r="100" ht="30.15" hidden="1" customHeight="1" x14ac:dyDescent="0.25"/>
  </sheetData>
  <sheetProtection algorithmName="SHA-256" hashValue="+58/SQzAPE850xMYIdklUWt9ApI3zERIJpulUlnr4cU=" saltValue="ipAz3FqtRXCn0fizAo2Hzw==" spinCount="100000" sheet="1" objects="1" scenarios="1"/>
  <mergeCells count="28">
    <mergeCell ref="C56:N56"/>
    <mergeCell ref="B3:O3"/>
    <mergeCell ref="C4:N4"/>
    <mergeCell ref="B6:O6"/>
    <mergeCell ref="B31:O31"/>
    <mergeCell ref="B40:O40"/>
    <mergeCell ref="C42:N42"/>
    <mergeCell ref="C50:N50"/>
    <mergeCell ref="C43:N43"/>
    <mergeCell ref="C44:N44"/>
    <mergeCell ref="C46:N46"/>
    <mergeCell ref="C47:N47"/>
    <mergeCell ref="B64:O65"/>
    <mergeCell ref="B43:B62"/>
    <mergeCell ref="C61:N61"/>
    <mergeCell ref="C59:N59"/>
    <mergeCell ref="C53:N53"/>
    <mergeCell ref="C45:N45"/>
    <mergeCell ref="C55:N55"/>
    <mergeCell ref="C57:N57"/>
    <mergeCell ref="C48:N48"/>
    <mergeCell ref="C49:N49"/>
    <mergeCell ref="C62:N62"/>
    <mergeCell ref="C52:N52"/>
    <mergeCell ref="C54:N54"/>
    <mergeCell ref="C51:N51"/>
    <mergeCell ref="C58:N58"/>
    <mergeCell ref="C60:N60"/>
  </mergeCells>
  <pageMargins left="0.70866141732283472" right="0.70866141732283472" top="0.74803149606299213" bottom="0.74803149606299213" header="0.31496062992125984" footer="0.31496062992125984"/>
  <pageSetup paperSize="8" scale="65" orientation="portrait" r:id="rId1"/>
  <headerFooter>
    <oddHeader>&amp;LNGER wastewater (Industrial) calculator 1.5 Sheet: 5&amp;R&amp;A</oddHeader>
    <oddFooter>&amp;L© Commonwealth of Australia (2014) Clean Energy Regulator.&amp;RISBN: 978-1-921299-80-3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9"/>
  <sheetViews>
    <sheetView showRowColHeaders="0" workbookViewId="0"/>
  </sheetViews>
  <sheetFormatPr defaultColWidth="0" defaultRowHeight="13.2" zeroHeight="1" x14ac:dyDescent="0.25"/>
  <cols>
    <col min="1" max="1" width="9.109375" style="103" customWidth="1"/>
    <col min="2" max="2" width="136.88671875" style="103" customWidth="1"/>
    <col min="3" max="3" width="9.109375" style="103" customWidth="1"/>
    <col min="4" max="16384" width="9.109375" hidden="1"/>
  </cols>
  <sheetData>
    <row r="1" spans="2:2" ht="120.15" customHeight="1" x14ac:dyDescent="0.25"/>
    <row r="2" spans="2:2" ht="23.4" x14ac:dyDescent="0.25">
      <c r="B2" s="181" t="s">
        <v>194</v>
      </c>
    </row>
    <row r="3" spans="2:2" x14ac:dyDescent="0.25"/>
    <row r="4" spans="2:2" ht="114.75" customHeight="1" x14ac:dyDescent="0.25">
      <c r="B4" s="196" t="s">
        <v>200</v>
      </c>
    </row>
    <row r="5" spans="2:2" ht="57.6" x14ac:dyDescent="0.25">
      <c r="B5" s="196" t="s">
        <v>201</v>
      </c>
    </row>
    <row r="6" spans="2:2" ht="100.8" x14ac:dyDescent="0.25">
      <c r="B6" s="196" t="s">
        <v>202</v>
      </c>
    </row>
    <row r="7" spans="2:2" x14ac:dyDescent="0.25">
      <c r="B7" s="182"/>
    </row>
    <row r="8" spans="2:2" x14ac:dyDescent="0.25"/>
    <row r="9" spans="2:2" x14ac:dyDescent="0.25"/>
  </sheetData>
  <sheetProtection algorithmName="SHA-256" hashValue="Dw3W7NNav2dihEhfcAqgXOZ1iq5TuHFfyeb8u3BOigM=" saltValue="uCV4W3a3BBAmkMroVXIv5Q==" spinCount="100000" sheet="1" objects="1" scenarios="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Y73"/>
  <sheetViews>
    <sheetView topLeftCell="A50" zoomScaleNormal="100" workbookViewId="0">
      <selection activeCell="H60" sqref="H60"/>
    </sheetView>
  </sheetViews>
  <sheetFormatPr defaultRowHeight="13.8" x14ac:dyDescent="0.3"/>
  <cols>
    <col min="2" max="2" width="80.109375" style="2" customWidth="1"/>
    <col min="3" max="3" width="9.109375" style="2" customWidth="1"/>
    <col min="4" max="4" width="15.44140625" style="2" customWidth="1"/>
    <col min="5" max="5" width="9.109375" style="2" customWidth="1"/>
    <col min="6" max="6" width="25" style="2" bestFit="1" customWidth="1"/>
    <col min="7" max="7" width="22.88671875" style="2" customWidth="1"/>
    <col min="8" max="8" width="18.5546875" style="2" customWidth="1"/>
    <col min="9" max="9" width="4.44140625" style="2" bestFit="1" customWidth="1"/>
    <col min="10" max="10" width="9.109375" style="2" customWidth="1"/>
    <col min="11" max="11" width="56.109375" bestFit="1" customWidth="1"/>
    <col min="14" max="14" width="14.44140625" bestFit="1" customWidth="1"/>
    <col min="15" max="15" width="64.88671875" bestFit="1" customWidth="1"/>
    <col min="16" max="16" width="12.5546875" customWidth="1"/>
    <col min="18" max="18" width="19.109375" bestFit="1" customWidth="1"/>
    <col min="25" max="25" width="59.5546875" bestFit="1" customWidth="1"/>
  </cols>
  <sheetData>
    <row r="2" spans="2:25" ht="15.6" x14ac:dyDescent="0.3">
      <c r="B2"/>
      <c r="F2" s="7"/>
    </row>
    <row r="3" spans="2:25" ht="18" x14ac:dyDescent="0.3">
      <c r="F3" s="24" t="s">
        <v>75</v>
      </c>
      <c r="G3" s="25" t="s">
        <v>76</v>
      </c>
      <c r="H3" s="26" t="str">
        <f>MID(G3,SEARCH(": ",G3)+2,3)</f>
        <v>0</v>
      </c>
      <c r="I3" s="27">
        <f>H3*1</f>
        <v>0</v>
      </c>
      <c r="K3" s="16" t="s">
        <v>8</v>
      </c>
      <c r="L3" s="17" t="s">
        <v>77</v>
      </c>
      <c r="M3" s="17" t="s">
        <v>78</v>
      </c>
      <c r="N3" s="17" t="s">
        <v>79</v>
      </c>
      <c r="O3" s="18" t="s">
        <v>80</v>
      </c>
      <c r="Q3" s="52"/>
      <c r="R3" s="68" t="s">
        <v>81</v>
      </c>
      <c r="S3" s="53"/>
      <c r="T3" s="53"/>
      <c r="U3" s="53"/>
      <c r="V3" s="53"/>
      <c r="W3" s="53"/>
      <c r="X3" s="53"/>
      <c r="Y3" s="54" t="s">
        <v>82</v>
      </c>
    </row>
    <row r="4" spans="2:25" ht="15.6" x14ac:dyDescent="0.3">
      <c r="F4" s="28" t="s">
        <v>83</v>
      </c>
      <c r="G4" s="22" t="s">
        <v>84</v>
      </c>
      <c r="H4" s="23" t="str">
        <f>MID(G4,SEARCH(": ",G4)+2,3)</f>
        <v>0.3</v>
      </c>
      <c r="I4" s="29">
        <f>H4*1</f>
        <v>0.3</v>
      </c>
      <c r="K4" s="13" t="s">
        <v>85</v>
      </c>
      <c r="L4" s="17">
        <v>5.7</v>
      </c>
      <c r="M4" s="17">
        <v>0.9</v>
      </c>
      <c r="N4" s="17">
        <v>0.4</v>
      </c>
      <c r="O4" s="19" t="s">
        <v>39</v>
      </c>
      <c r="Q4" s="55"/>
      <c r="Y4" s="56" t="s">
        <v>86</v>
      </c>
    </row>
    <row r="5" spans="2:25" ht="15.6" x14ac:dyDescent="0.3">
      <c r="F5" s="28" t="s">
        <v>87</v>
      </c>
      <c r="G5" s="22" t="s">
        <v>88</v>
      </c>
      <c r="H5" s="23" t="str">
        <f>MID(G5,SEARCH(": ",G5)+2,3)</f>
        <v>0.8</v>
      </c>
      <c r="I5" s="29">
        <f>H5*1</f>
        <v>0.8</v>
      </c>
      <c r="K5" s="13" t="s">
        <v>89</v>
      </c>
      <c r="L5" s="17">
        <v>26.7</v>
      </c>
      <c r="M5" s="17">
        <v>0.4</v>
      </c>
      <c r="N5" s="17">
        <v>0</v>
      </c>
      <c r="O5" s="19" t="s">
        <v>39</v>
      </c>
      <c r="Q5" s="55"/>
      <c r="Y5" s="57"/>
    </row>
    <row r="6" spans="2:25" ht="15.6" x14ac:dyDescent="0.3">
      <c r="F6" s="28" t="s">
        <v>90</v>
      </c>
      <c r="G6" s="22" t="s">
        <v>91</v>
      </c>
      <c r="H6" s="23" t="str">
        <f>MID(G6,SEARCH(": ",G6)+2,3)</f>
        <v>0.2</v>
      </c>
      <c r="I6" s="29">
        <f>H6*1</f>
        <v>0.2</v>
      </c>
      <c r="K6" s="13" t="s">
        <v>92</v>
      </c>
      <c r="L6" s="17">
        <v>13.7</v>
      </c>
      <c r="M6" s="17">
        <v>6.1</v>
      </c>
      <c r="N6" s="17">
        <v>0.4</v>
      </c>
      <c r="O6" s="19" t="s">
        <v>40</v>
      </c>
      <c r="Q6" s="55"/>
      <c r="R6" s="58"/>
      <c r="Y6" s="57" t="s">
        <v>93</v>
      </c>
    </row>
    <row r="7" spans="2:25" ht="15.6" x14ac:dyDescent="0.3">
      <c r="F7" s="30" t="s">
        <v>22</v>
      </c>
      <c r="G7" s="31" t="s">
        <v>94</v>
      </c>
      <c r="H7" s="32" t="str">
        <f>MID(G7,SEARCH(": ",G7)+2,3)</f>
        <v>0.8</v>
      </c>
      <c r="I7" s="33">
        <f>H7*1</f>
        <v>0.8</v>
      </c>
      <c r="K7" s="13" t="s">
        <v>95</v>
      </c>
      <c r="L7" s="17">
        <v>67</v>
      </c>
      <c r="M7" s="17">
        <v>3</v>
      </c>
      <c r="N7" s="17">
        <v>0.1</v>
      </c>
      <c r="O7" s="19" t="s">
        <v>39</v>
      </c>
      <c r="P7" s="36"/>
      <c r="Q7" s="59" t="s">
        <v>96</v>
      </c>
      <c r="R7" s="48" t="b">
        <f>ISTEXT('Facility input'!D31)</f>
        <v>1</v>
      </c>
      <c r="T7" s="45" t="str">
        <f>IF(V7=1,SUM(T8:T15),"")</f>
        <v/>
      </c>
      <c r="U7" s="43"/>
      <c r="V7" s="49">
        <f>SUM(V8:V15)</f>
        <v>0</v>
      </c>
      <c r="X7" s="47">
        <v>0</v>
      </c>
      <c r="Y7" s="60" t="s">
        <v>97</v>
      </c>
    </row>
    <row r="8" spans="2:25" ht="15.6" x14ac:dyDescent="0.3">
      <c r="B8" s="15" t="s">
        <v>98</v>
      </c>
      <c r="I8" s="8"/>
      <c r="K8" s="13" t="s">
        <v>99</v>
      </c>
      <c r="L8" s="17">
        <v>0.4</v>
      </c>
      <c r="M8" s="17">
        <v>3.8</v>
      </c>
      <c r="N8" s="17">
        <v>0.3</v>
      </c>
      <c r="O8" s="19" t="s">
        <v>41</v>
      </c>
      <c r="P8" s="37"/>
      <c r="Q8" s="61" t="s">
        <v>100</v>
      </c>
      <c r="R8" s="48" t="b">
        <f>ISTEXT('Facility input'!D30)</f>
        <v>1</v>
      </c>
      <c r="T8" s="44">
        <f>IF('Facility input'!D11=SUM('Facility input'!D$11:D$18),Calculations!N4,0)</f>
        <v>0.4</v>
      </c>
      <c r="U8" s="2">
        <f>IF(ISTEXT('Facility input'!D11),0,1)</f>
        <v>1</v>
      </c>
      <c r="V8" s="50">
        <f>IF('Facility input'!D11&gt;0,1,0)</f>
        <v>0</v>
      </c>
      <c r="X8" s="47">
        <v>1</v>
      </c>
      <c r="Y8" s="62" t="str">
        <f>CONCATENATE("&lt;==== Input default (",T7,") or another value or select from drop-down list")</f>
        <v>&lt;==== Input default () or another value or select from drop-down list</v>
      </c>
    </row>
    <row r="9" spans="2:25" ht="15.6" x14ac:dyDescent="0.3">
      <c r="B9" s="15" t="s">
        <v>101</v>
      </c>
      <c r="I9" s="8"/>
      <c r="K9" s="13" t="s">
        <v>102</v>
      </c>
      <c r="L9" s="17">
        <v>5.3</v>
      </c>
      <c r="M9" s="17">
        <v>6</v>
      </c>
      <c r="N9" s="17">
        <v>0.5</v>
      </c>
      <c r="O9" s="19" t="s">
        <v>39</v>
      </c>
      <c r="P9" s="37"/>
      <c r="Q9" s="55"/>
      <c r="T9" s="44">
        <f>IF('Facility input'!D12=SUM('Facility input'!D$11:D$18),Calculations!N5,0)</f>
        <v>0</v>
      </c>
      <c r="U9" s="2">
        <f>IF(ISTEXT('Facility input'!D12),0,1)</f>
        <v>1</v>
      </c>
      <c r="V9" s="50">
        <f>IF('Facility input'!D12&gt;0,1,0)</f>
        <v>0</v>
      </c>
      <c r="X9" s="47">
        <v>2</v>
      </c>
      <c r="Y9" s="63" t="s">
        <v>103</v>
      </c>
    </row>
    <row r="10" spans="2:25" ht="15.6" x14ac:dyDescent="0.3">
      <c r="B10" s="34"/>
      <c r="I10" s="8"/>
      <c r="K10" s="13" t="s">
        <v>104</v>
      </c>
      <c r="L10" s="17">
        <v>23</v>
      </c>
      <c r="M10" s="17">
        <v>1.5</v>
      </c>
      <c r="N10" s="17">
        <v>0</v>
      </c>
      <c r="O10" s="19" t="s">
        <v>39</v>
      </c>
      <c r="P10" s="37"/>
      <c r="Q10" s="55"/>
      <c r="T10" s="44">
        <f>IF('Facility input'!D13=SUM('Facility input'!D$11:D$18),Calculations!N6,0)</f>
        <v>0.4</v>
      </c>
      <c r="U10" s="2">
        <f>IF(ISTEXT('Facility input'!D13),0,1)</f>
        <v>1</v>
      </c>
      <c r="V10" s="50">
        <f>IF('Facility input'!D13&gt;0,1,0)</f>
        <v>0</v>
      </c>
      <c r="X10" s="47">
        <v>3</v>
      </c>
      <c r="Y10" s="63" t="s">
        <v>103</v>
      </c>
    </row>
    <row r="11" spans="2:25" ht="16.2" thickBot="1" x14ac:dyDescent="0.35">
      <c r="B11" s="35" t="s">
        <v>105</v>
      </c>
      <c r="I11" s="8"/>
      <c r="K11" s="14" t="s">
        <v>106</v>
      </c>
      <c r="L11" s="20">
        <v>20</v>
      </c>
      <c r="M11" s="20">
        <v>0.2</v>
      </c>
      <c r="N11" s="20">
        <v>1</v>
      </c>
      <c r="O11" s="21" t="s">
        <v>39</v>
      </c>
      <c r="P11" s="37"/>
      <c r="Q11" s="55"/>
      <c r="T11" s="44">
        <f>IF('Facility input'!D14=SUM('Facility input'!D$11:D$18),Calculations!N7,0)</f>
        <v>0.1</v>
      </c>
      <c r="U11" s="2">
        <f>IF(ISTEXT('Facility input'!D14),0,1)</f>
        <v>1</v>
      </c>
      <c r="V11" s="50">
        <f>IF('Facility input'!D14&gt;0,1,0)</f>
        <v>0</v>
      </c>
      <c r="X11" s="47">
        <v>4</v>
      </c>
      <c r="Y11" s="63" t="s">
        <v>103</v>
      </c>
    </row>
    <row r="12" spans="2:25" ht="15.6" x14ac:dyDescent="0.3">
      <c r="B12" s="35" t="s">
        <v>107</v>
      </c>
      <c r="H12" s="4"/>
      <c r="I12"/>
      <c r="P12" s="37"/>
      <c r="Q12" s="55"/>
      <c r="T12" s="44">
        <f>IF('Facility input'!D15=SUM('Facility input'!D$11:D$18),Calculations!N8,0)</f>
        <v>0.3</v>
      </c>
      <c r="U12" s="2">
        <f>IF(ISTEXT('Facility input'!D15),0,1)</f>
        <v>1</v>
      </c>
      <c r="V12" s="50">
        <f>IF('Facility input'!D15&gt;0,1,0)</f>
        <v>0</v>
      </c>
      <c r="X12" s="47">
        <v>5</v>
      </c>
      <c r="Y12" s="63" t="s">
        <v>103</v>
      </c>
    </row>
    <row r="13" spans="2:25" ht="15.6" x14ac:dyDescent="0.3">
      <c r="I13"/>
      <c r="P13" s="37"/>
      <c r="Q13" s="55"/>
      <c r="T13" s="44">
        <f>IF('Facility input'!D16=SUM('Facility input'!D$11:D$18),Calculations!M9,0)</f>
        <v>6</v>
      </c>
      <c r="U13" s="2">
        <f>IF(ISTEXT('Facility input'!D16),0,1)</f>
        <v>1</v>
      </c>
      <c r="V13" s="51">
        <f>IF('Facility input'!D16&gt;0,1,0)</f>
        <v>0</v>
      </c>
      <c r="X13" s="47">
        <v>6</v>
      </c>
      <c r="Y13" s="63" t="s">
        <v>103</v>
      </c>
    </row>
    <row r="14" spans="2:25" ht="15.6" x14ac:dyDescent="0.3">
      <c r="B14" s="75" t="s">
        <v>108</v>
      </c>
      <c r="C14" s="4"/>
      <c r="I14"/>
      <c r="J14"/>
      <c r="P14" s="37"/>
      <c r="Q14" s="55"/>
      <c r="T14" s="44">
        <f>IF('Facility input'!D17=SUM('Facility input'!D$11:D$18),Calculations!N10,0)</f>
        <v>0</v>
      </c>
      <c r="U14" s="2">
        <f>IF(ISTEXT('Facility input'!D17),0,1)</f>
        <v>1</v>
      </c>
      <c r="V14" s="51">
        <f>IF('Facility input'!D17&gt;0,1,0)</f>
        <v>0</v>
      </c>
      <c r="X14" s="47">
        <v>7</v>
      </c>
      <c r="Y14" s="63" t="s">
        <v>103</v>
      </c>
    </row>
    <row r="15" spans="2:25" ht="15.6" x14ac:dyDescent="0.3">
      <c r="B15" s="75" t="s">
        <v>109</v>
      </c>
      <c r="C15" s="4"/>
      <c r="I15"/>
      <c r="J15"/>
      <c r="P15" s="37"/>
      <c r="Q15" s="55"/>
      <c r="T15" s="44">
        <f>IF('Facility input'!D18=SUM('Facility input'!D$11:D$18),Calculations!M11,0)</f>
        <v>0.2</v>
      </c>
      <c r="U15" s="2">
        <f>IF(ISTEXT('Facility input'!D18),0,1)</f>
        <v>1</v>
      </c>
      <c r="V15" s="51">
        <f>IF('Facility input'!D18&gt;0,1,0)</f>
        <v>0</v>
      </c>
      <c r="X15" s="47">
        <v>8</v>
      </c>
      <c r="Y15" s="63" t="s">
        <v>103</v>
      </c>
    </row>
    <row r="16" spans="2:25" x14ac:dyDescent="0.3">
      <c r="B16"/>
      <c r="C16" s="4"/>
      <c r="I16"/>
      <c r="J16"/>
      <c r="Q16" s="64"/>
      <c r="R16" s="65"/>
      <c r="S16" s="65"/>
      <c r="T16" s="65"/>
      <c r="U16" s="65"/>
      <c r="V16" s="65"/>
      <c r="W16" s="65"/>
      <c r="X16" s="66">
        <v>9</v>
      </c>
      <c r="Y16" s="67" t="s">
        <v>103</v>
      </c>
    </row>
    <row r="17" spans="1:25" x14ac:dyDescent="0.3">
      <c r="B17" s="9"/>
      <c r="I17"/>
      <c r="J17"/>
    </row>
    <row r="18" spans="1:25" x14ac:dyDescent="0.3">
      <c r="B18" s="9"/>
      <c r="I18"/>
      <c r="J18"/>
      <c r="Q18" s="52"/>
      <c r="R18" s="69" t="s">
        <v>110</v>
      </c>
      <c r="S18" s="53"/>
      <c r="T18" s="53"/>
      <c r="U18" s="53"/>
      <c r="V18" s="53"/>
      <c r="W18" s="53"/>
      <c r="X18" s="53"/>
      <c r="Y18" s="54" t="s">
        <v>82</v>
      </c>
    </row>
    <row r="19" spans="1:25" x14ac:dyDescent="0.3">
      <c r="B19" s="9"/>
      <c r="J19"/>
      <c r="Q19" s="55"/>
      <c r="R19" s="70"/>
      <c r="Y19" s="56" t="s">
        <v>111</v>
      </c>
    </row>
    <row r="20" spans="1:25" x14ac:dyDescent="0.3">
      <c r="B20" s="300" t="s">
        <v>82</v>
      </c>
      <c r="C20" s="300"/>
      <c r="D20" s="300"/>
      <c r="J20"/>
      <c r="Q20" s="55"/>
      <c r="Y20" s="57"/>
    </row>
    <row r="21" spans="1:25" x14ac:dyDescent="0.3">
      <c r="A21" s="40" t="s">
        <v>112</v>
      </c>
      <c r="B21" s="39" t="s">
        <v>113</v>
      </c>
      <c r="D21" s="39" t="s">
        <v>114</v>
      </c>
      <c r="K21" s="74" t="s">
        <v>115</v>
      </c>
      <c r="Q21" s="55"/>
      <c r="R21" s="58"/>
      <c r="S21" s="58"/>
      <c r="Y21" s="57"/>
    </row>
    <row r="22" spans="1:25" ht="12.75" customHeight="1" x14ac:dyDescent="0.4">
      <c r="A22" s="38" t="s">
        <v>116</v>
      </c>
      <c r="B22" s="41" t="s">
        <v>117</v>
      </c>
      <c r="C22" s="42" t="s">
        <v>116</v>
      </c>
      <c r="D22" s="2" t="s">
        <v>118</v>
      </c>
      <c r="K22" s="74" t="s">
        <v>119</v>
      </c>
      <c r="Q22" s="59" t="s">
        <v>96</v>
      </c>
      <c r="R22" s="48" t="b">
        <f>ISTEXT(#REF!)</f>
        <v>0</v>
      </c>
      <c r="T22" s="45" t="e">
        <f>IF(V22=1,SUM(T23:T30),"")</f>
        <v>#REF!</v>
      </c>
      <c r="U22" s="43"/>
      <c r="V22" s="49" t="e">
        <f>SUM(V23:V30)</f>
        <v>#REF!</v>
      </c>
      <c r="X22" s="47">
        <v>0</v>
      </c>
      <c r="Y22" s="60" t="s">
        <v>97</v>
      </c>
    </row>
    <row r="23" spans="1:25" ht="18" x14ac:dyDescent="0.4">
      <c r="A23" s="38" t="s">
        <v>120</v>
      </c>
      <c r="B23" s="3" t="s">
        <v>121</v>
      </c>
      <c r="C23" s="42" t="s">
        <v>120</v>
      </c>
      <c r="D23" s="3" t="s">
        <v>121</v>
      </c>
      <c r="K23" s="74" t="s">
        <v>122</v>
      </c>
      <c r="Q23" s="61" t="s">
        <v>100</v>
      </c>
      <c r="R23" s="48" t="b">
        <f>ISTEXT(#REF!)</f>
        <v>0</v>
      </c>
      <c r="T23" s="44" t="e">
        <f>IF(#REF!=SUM(#REF!),Calculations!N4,0)</f>
        <v>#REF!</v>
      </c>
      <c r="U23" s="2">
        <f>IF(ISTEXT(#REF!),0,1)</f>
        <v>1</v>
      </c>
      <c r="V23" s="50" t="e">
        <f>IF(#REF!&gt;0,1,0)</f>
        <v>#REF!</v>
      </c>
      <c r="X23" s="47">
        <v>1</v>
      </c>
      <c r="Y23" s="62" t="e">
        <f>CONCATENATE("&lt;==== Input default (",T22,") or another value or select from drop-down list")</f>
        <v>#REF!</v>
      </c>
    </row>
    <row r="24" spans="1:25" ht="18" x14ac:dyDescent="0.4">
      <c r="A24" s="38" t="s">
        <v>123</v>
      </c>
      <c r="B24" s="46" t="s">
        <v>124</v>
      </c>
      <c r="C24" s="42" t="s">
        <v>123</v>
      </c>
      <c r="D24" s="46" t="s">
        <v>124</v>
      </c>
      <c r="J24" s="73" t="s">
        <v>125</v>
      </c>
      <c r="K24" s="74" t="s">
        <v>126</v>
      </c>
      <c r="Q24" s="55"/>
      <c r="T24" s="44" t="e">
        <f>IF(#REF!=SUM(#REF!),Calculations!N5,0)</f>
        <v>#REF!</v>
      </c>
      <c r="U24" s="2">
        <f>IF(ISTEXT(#REF!),0,1)</f>
        <v>1</v>
      </c>
      <c r="V24" s="50" t="e">
        <f>IF(#REF!&gt;0,1,0)</f>
        <v>#REF!</v>
      </c>
      <c r="X24" s="47">
        <v>2</v>
      </c>
      <c r="Y24" s="63" t="s">
        <v>103</v>
      </c>
    </row>
    <row r="25" spans="1:25" ht="18" x14ac:dyDescent="0.4">
      <c r="A25" s="38" t="s">
        <v>127</v>
      </c>
      <c r="B25" s="3" t="s">
        <v>128</v>
      </c>
      <c r="C25" s="42" t="s">
        <v>127</v>
      </c>
      <c r="D25" s="3" t="s">
        <v>128</v>
      </c>
      <c r="F25" s="4"/>
      <c r="J25" s="73" t="s">
        <v>129</v>
      </c>
      <c r="K25" s="74" t="s">
        <v>103</v>
      </c>
      <c r="Q25" s="55"/>
      <c r="T25" s="44" t="e">
        <f>IF(#REF!=SUM(#REF!),Calculations!N6,0)</f>
        <v>#REF!</v>
      </c>
      <c r="U25" s="2">
        <f>IF(ISTEXT(#REF!),0,1)</f>
        <v>1</v>
      </c>
      <c r="V25" s="50" t="e">
        <f>IF(#REF!&gt;0,1,0)</f>
        <v>#REF!</v>
      </c>
      <c r="X25" s="47">
        <v>3</v>
      </c>
      <c r="Y25" s="63" t="s">
        <v>103</v>
      </c>
    </row>
    <row r="26" spans="1:25" ht="15.6" x14ac:dyDescent="0.3">
      <c r="A26" s="38" t="s">
        <v>130</v>
      </c>
      <c r="B26" s="72" t="s">
        <v>131</v>
      </c>
      <c r="C26" s="42" t="s">
        <v>130</v>
      </c>
      <c r="D26" s="3" t="s">
        <v>132</v>
      </c>
      <c r="F26" s="4"/>
      <c r="K26" s="74" t="s">
        <v>133</v>
      </c>
      <c r="Q26" s="55"/>
      <c r="T26" s="44" t="e">
        <f>IF(#REF!=SUM(#REF!),Calculations!N7,0)</f>
        <v>#REF!</v>
      </c>
      <c r="U26" s="2">
        <f>IF(ISTEXT(#REF!),0,1)</f>
        <v>1</v>
      </c>
      <c r="V26" s="50" t="e">
        <f>IF(#REF!&gt;0,1,0)</f>
        <v>#REF!</v>
      </c>
      <c r="X26" s="47">
        <v>4</v>
      </c>
      <c r="Y26" s="63" t="s">
        <v>103</v>
      </c>
    </row>
    <row r="27" spans="1:25" ht="18" x14ac:dyDescent="0.4">
      <c r="A27" s="38" t="s">
        <v>134</v>
      </c>
      <c r="B27" s="46" t="s">
        <v>135</v>
      </c>
      <c r="C27" s="42" t="s">
        <v>134</v>
      </c>
      <c r="D27" s="46" t="s">
        <v>136</v>
      </c>
      <c r="F27" s="4"/>
      <c r="G27" s="4"/>
      <c r="J27" s="2" t="s">
        <v>137</v>
      </c>
      <c r="K27" s="74" t="s">
        <v>138</v>
      </c>
      <c r="Q27" s="55"/>
      <c r="T27" s="44" t="e">
        <f>IF(#REF!=SUM(#REF!),Calculations!N8,0)</f>
        <v>#REF!</v>
      </c>
      <c r="U27" s="2">
        <f>IF(ISTEXT(#REF!),0,1)</f>
        <v>1</v>
      </c>
      <c r="V27" s="50" t="e">
        <f>IF(#REF!&gt;0,1,0)</f>
        <v>#REF!</v>
      </c>
      <c r="X27" s="47">
        <v>5</v>
      </c>
      <c r="Y27" s="63" t="s">
        <v>103</v>
      </c>
    </row>
    <row r="28" spans="1:25" ht="18" x14ac:dyDescent="0.4">
      <c r="A28" s="38" t="s">
        <v>139</v>
      </c>
      <c r="B28" s="46" t="s">
        <v>140</v>
      </c>
      <c r="C28" s="42" t="s">
        <v>139</v>
      </c>
      <c r="D28" s="46" t="s">
        <v>140</v>
      </c>
      <c r="F28" s="4"/>
      <c r="Q28" s="55"/>
      <c r="T28" s="44" t="e">
        <f>IF(#REF!=SUM(#REF!),Calculations!M9,0)</f>
        <v>#REF!</v>
      </c>
      <c r="U28" s="2">
        <f>IF(ISTEXT(#REF!),0,1)</f>
        <v>1</v>
      </c>
      <c r="V28" s="51" t="e">
        <f>IF(#REF!&gt;0,1,0)</f>
        <v>#REF!</v>
      </c>
      <c r="X28" s="47">
        <v>6</v>
      </c>
      <c r="Y28" s="63" t="s">
        <v>103</v>
      </c>
    </row>
    <row r="29" spans="1:25" ht="18" x14ac:dyDescent="0.4">
      <c r="A29" s="38" t="s">
        <v>141</v>
      </c>
      <c r="B29" s="46" t="s">
        <v>142</v>
      </c>
      <c r="C29" s="42" t="s">
        <v>141</v>
      </c>
      <c r="D29" s="46" t="s">
        <v>142</v>
      </c>
      <c r="F29" s="4"/>
      <c r="G29" s="4"/>
      <c r="Q29" s="55"/>
      <c r="T29" s="44" t="e">
        <f>IF(#REF!=SUM(#REF!),Calculations!N10,0)</f>
        <v>#REF!</v>
      </c>
      <c r="U29" s="2">
        <f>IF(ISTEXT(#REF!),0,1)</f>
        <v>1</v>
      </c>
      <c r="V29" s="51" t="e">
        <f>IF(#REF!&gt;0,1,0)</f>
        <v>#REF!</v>
      </c>
      <c r="X29" s="47">
        <v>7</v>
      </c>
      <c r="Y29" s="63" t="s">
        <v>103</v>
      </c>
    </row>
    <row r="30" spans="1:25" ht="18" x14ac:dyDescent="0.4">
      <c r="A30" s="38" t="s">
        <v>143</v>
      </c>
      <c r="B30" s="46" t="s">
        <v>144</v>
      </c>
      <c r="C30" s="42" t="s">
        <v>143</v>
      </c>
      <c r="D30" s="46" t="s">
        <v>144</v>
      </c>
      <c r="F30" s="4"/>
      <c r="G30" s="4"/>
      <c r="Q30" s="55"/>
      <c r="T30" s="44" t="e">
        <f>IF(#REF!=SUM(#REF!),Calculations!M11,0)</f>
        <v>#REF!</v>
      </c>
      <c r="U30" s="2">
        <f>IF(ISTEXT(#REF!),0,1)</f>
        <v>1</v>
      </c>
      <c r="V30" s="51" t="e">
        <f>IF(#REF!&gt;0,1,0)</f>
        <v>#REF!</v>
      </c>
      <c r="X30" s="47">
        <v>8</v>
      </c>
      <c r="Y30" s="63" t="s">
        <v>103</v>
      </c>
    </row>
    <row r="31" spans="1:25" ht="18" x14ac:dyDescent="0.4">
      <c r="A31" s="38" t="s">
        <v>145</v>
      </c>
      <c r="B31" s="46" t="s">
        <v>146</v>
      </c>
      <c r="C31" s="42" t="s">
        <v>145</v>
      </c>
      <c r="D31" s="46" t="s">
        <v>146</v>
      </c>
      <c r="F31" s="4"/>
      <c r="G31" s="4"/>
      <c r="Q31" s="64"/>
      <c r="R31" s="65"/>
      <c r="S31" s="65"/>
      <c r="T31" s="65"/>
      <c r="U31" s="65"/>
      <c r="V31" s="65"/>
      <c r="W31" s="65"/>
      <c r="X31" s="66">
        <v>9</v>
      </c>
    </row>
    <row r="32" spans="1:25" ht="18" x14ac:dyDescent="0.4">
      <c r="A32" s="38" t="s">
        <v>147</v>
      </c>
      <c r="B32" s="46" t="s">
        <v>148</v>
      </c>
      <c r="C32" s="42" t="s">
        <v>147</v>
      </c>
      <c r="D32" s="46" t="s">
        <v>149</v>
      </c>
      <c r="F32" s="4"/>
      <c r="G32" s="4"/>
    </row>
    <row r="33" spans="1:25" ht="18" x14ac:dyDescent="0.4">
      <c r="A33" s="38" t="s">
        <v>150</v>
      </c>
      <c r="B33" s="46" t="s">
        <v>151</v>
      </c>
      <c r="C33" s="42" t="s">
        <v>150</v>
      </c>
      <c r="D33" s="12" t="s">
        <v>152</v>
      </c>
      <c r="F33" s="4"/>
      <c r="G33" s="4"/>
      <c r="Q33" s="52"/>
      <c r="R33" s="68" t="s">
        <v>153</v>
      </c>
      <c r="S33" s="53"/>
      <c r="T33" s="53"/>
      <c r="U33" s="53"/>
      <c r="V33" s="53"/>
      <c r="W33" s="53"/>
      <c r="X33" s="53"/>
      <c r="Y33" s="54" t="s">
        <v>82</v>
      </c>
    </row>
    <row r="34" spans="1:25" ht="18" x14ac:dyDescent="0.4">
      <c r="A34" s="38" t="s">
        <v>154</v>
      </c>
      <c r="B34" s="3" t="s">
        <v>155</v>
      </c>
      <c r="C34" s="42" t="s">
        <v>154</v>
      </c>
      <c r="D34" s="3" t="s">
        <v>155</v>
      </c>
      <c r="F34" s="4"/>
      <c r="G34" s="4"/>
      <c r="Q34" s="55"/>
      <c r="R34" s="71"/>
      <c r="Y34" s="56" t="s">
        <v>111</v>
      </c>
    </row>
    <row r="35" spans="1:25" ht="18" x14ac:dyDescent="0.4">
      <c r="A35" s="38" t="s">
        <v>156</v>
      </c>
      <c r="B35" s="3" t="s">
        <v>157</v>
      </c>
      <c r="C35" s="42" t="s">
        <v>156</v>
      </c>
      <c r="D35" s="3" t="s">
        <v>157</v>
      </c>
      <c r="Q35" s="55"/>
      <c r="X35" s="2"/>
      <c r="Y35" s="57"/>
    </row>
    <row r="36" spans="1:25" x14ac:dyDescent="0.3">
      <c r="B36"/>
      <c r="Q36" s="55"/>
      <c r="R36" s="58"/>
      <c r="S36" s="58"/>
      <c r="Y36" s="57"/>
    </row>
    <row r="37" spans="1:25" ht="15.6" x14ac:dyDescent="0.3">
      <c r="B37" s="39" t="s">
        <v>158</v>
      </c>
      <c r="D37" s="39" t="s">
        <v>158</v>
      </c>
      <c r="Q37" s="59" t="s">
        <v>96</v>
      </c>
      <c r="R37" s="48" t="b">
        <f>ISTEXT(#REF!)</f>
        <v>0</v>
      </c>
      <c r="T37" s="45" t="e">
        <f>IF(V37=1,SUM(T38:T46),"")</f>
        <v>#REF!</v>
      </c>
      <c r="U37" s="43"/>
      <c r="V37" s="49" t="e">
        <f>SUM(V38:V46)</f>
        <v>#REF!</v>
      </c>
      <c r="X37" s="47">
        <v>0</v>
      </c>
      <c r="Y37" s="60" t="s">
        <v>97</v>
      </c>
    </row>
    <row r="38" spans="1:25" ht="15.6" x14ac:dyDescent="0.3">
      <c r="A38" s="38" t="s">
        <v>159</v>
      </c>
      <c r="B38" s="76" t="s">
        <v>160</v>
      </c>
      <c r="Q38" s="61" t="s">
        <v>100</v>
      </c>
      <c r="R38" s="48" t="b">
        <f>ISTEXT(#REF!)</f>
        <v>0</v>
      </c>
      <c r="T38" s="44" t="e">
        <f>IF(#REF!=SUM(#REF!),Calculations!N4,0)</f>
        <v>#REF!</v>
      </c>
      <c r="U38" s="2">
        <f>IF(ISTEXT(#REF!),0,1)</f>
        <v>1</v>
      </c>
      <c r="V38" s="50" t="e">
        <f>IF(#REF!&gt;0,1,0)</f>
        <v>#REF!</v>
      </c>
      <c r="X38" s="47">
        <v>1</v>
      </c>
      <c r="Y38" s="62" t="e">
        <f>CONCATENATE("&lt;==== Input default (",T37,") or another value or select from drop-down list")</f>
        <v>#REF!</v>
      </c>
    </row>
    <row r="39" spans="1:25" x14ac:dyDescent="0.3">
      <c r="B39"/>
      <c r="Q39" s="55"/>
      <c r="T39" s="44" t="e">
        <f>IF(#REF!=SUM(#REF!),Calculations!N5,0)</f>
        <v>#REF!</v>
      </c>
      <c r="U39" s="2">
        <f>IF(ISTEXT(#REF!),0,1)</f>
        <v>1</v>
      </c>
      <c r="V39" s="50" t="e">
        <f>IF(#REF!&gt;0,1,0)</f>
        <v>#REF!</v>
      </c>
      <c r="X39" s="47">
        <v>2</v>
      </c>
      <c r="Y39" s="63" t="s">
        <v>103</v>
      </c>
    </row>
    <row r="40" spans="1:25" x14ac:dyDescent="0.3">
      <c r="B40"/>
      <c r="Q40" s="55"/>
      <c r="T40" s="44" t="e">
        <f>IF(#REF!=SUM(#REF!),Calculations!N6,0)</f>
        <v>#REF!</v>
      </c>
      <c r="U40" s="2">
        <f>IF(ISTEXT(#REF!),0,1)</f>
        <v>1</v>
      </c>
      <c r="V40" s="50" t="e">
        <f>IF(#REF!&gt;0,1,0)</f>
        <v>#REF!</v>
      </c>
      <c r="X40" s="47">
        <v>3</v>
      </c>
      <c r="Y40" s="63" t="s">
        <v>103</v>
      </c>
    </row>
    <row r="41" spans="1:25" x14ac:dyDescent="0.3">
      <c r="B41"/>
      <c r="Q41" s="55"/>
      <c r="T41" s="44" t="e">
        <f>IF(#REF!=SUM(#REF!),Calculations!N7,0)</f>
        <v>#REF!</v>
      </c>
      <c r="U41" s="2">
        <f>IF(ISTEXT(#REF!),0,1)</f>
        <v>1</v>
      </c>
      <c r="V41" s="50" t="e">
        <f>IF(#REF!&gt;0,1,0)</f>
        <v>#REF!</v>
      </c>
      <c r="X41" s="47">
        <v>4</v>
      </c>
      <c r="Y41" s="63" t="s">
        <v>103</v>
      </c>
    </row>
    <row r="42" spans="1:25" x14ac:dyDescent="0.3">
      <c r="B42"/>
      <c r="Q42" s="55"/>
      <c r="T42" s="44" t="e">
        <f>IF(#REF!=SUM(#REF!),Calculations!N8,0)</f>
        <v>#REF!</v>
      </c>
      <c r="U42" s="2">
        <f>IF(ISTEXT(#REF!),0,1)</f>
        <v>1</v>
      </c>
      <c r="V42" s="50" t="e">
        <f>IF(#REF!&gt;0,1,0)</f>
        <v>#REF!</v>
      </c>
      <c r="X42" s="47">
        <v>5</v>
      </c>
      <c r="Y42" s="63" t="s">
        <v>103</v>
      </c>
    </row>
    <row r="43" spans="1:25" ht="15.6" x14ac:dyDescent="0.3">
      <c r="B43" s="306" t="s">
        <v>161</v>
      </c>
      <c r="C43" s="307"/>
      <c r="D43" s="307"/>
      <c r="E43" s="307"/>
      <c r="F43" s="307"/>
      <c r="G43" s="98" t="s">
        <v>162</v>
      </c>
      <c r="H43" s="97"/>
      <c r="I43" s="96"/>
      <c r="J43" s="91">
        <f>H57</f>
        <v>0</v>
      </c>
      <c r="K43" s="92" t="s">
        <v>163</v>
      </c>
      <c r="L43" s="89"/>
      <c r="M43" s="77"/>
      <c r="Q43" s="55"/>
      <c r="T43" s="44" t="e">
        <f>IF(#REF!=SUM(#REF!),Calculations!M9,0)</f>
        <v>#REF!</v>
      </c>
      <c r="U43" s="2">
        <f>IF(ISTEXT(#REF!),0,1)</f>
        <v>1</v>
      </c>
      <c r="V43" s="51" t="e">
        <f>IF(#REF!&gt;0,1,0)</f>
        <v>#REF!</v>
      </c>
      <c r="X43" s="47">
        <v>6</v>
      </c>
      <c r="Y43" s="63" t="s">
        <v>103</v>
      </c>
    </row>
    <row r="44" spans="1:25" ht="15.6" x14ac:dyDescent="0.3">
      <c r="B44" s="306" t="s">
        <v>203</v>
      </c>
      <c r="C44" s="307"/>
      <c r="D44" s="307"/>
      <c r="E44" s="307"/>
      <c r="F44" s="307"/>
      <c r="G44" s="98" t="s">
        <v>162</v>
      </c>
      <c r="H44" s="97"/>
      <c r="I44" s="96"/>
      <c r="J44" s="91">
        <f>H58</f>
        <v>0</v>
      </c>
      <c r="K44" s="92" t="s">
        <v>204</v>
      </c>
      <c r="L44" s="89"/>
      <c r="M44" s="77"/>
      <c r="Q44" s="55"/>
      <c r="T44" s="44"/>
      <c r="U44" s="2"/>
      <c r="V44" s="51"/>
      <c r="X44" s="47"/>
      <c r="Y44" s="63"/>
    </row>
    <row r="45" spans="1:25" ht="15.6" x14ac:dyDescent="0.3">
      <c r="B45" s="297" t="s">
        <v>164</v>
      </c>
      <c r="C45" s="298"/>
      <c r="D45" s="298"/>
      <c r="E45" s="298"/>
      <c r="F45" s="299"/>
      <c r="G45" s="98" t="s">
        <v>162</v>
      </c>
      <c r="H45" s="97"/>
      <c r="I45" s="96"/>
      <c r="J45" s="91">
        <f>H59</f>
        <v>0</v>
      </c>
      <c r="K45" s="93" t="s">
        <v>165</v>
      </c>
      <c r="L45" s="89"/>
      <c r="M45" s="77"/>
      <c r="Q45" s="55"/>
      <c r="T45" s="44" t="e">
        <f>IF(#REF!=SUM(#REF!),Calculations!N10,0)</f>
        <v>#REF!</v>
      </c>
      <c r="U45" s="2">
        <f>IF(ISTEXT(#REF!),0,1)</f>
        <v>1</v>
      </c>
      <c r="V45" s="51" t="e">
        <f>IF(#REF!&gt;0,1,0)</f>
        <v>#REF!</v>
      </c>
      <c r="X45" s="47">
        <v>7</v>
      </c>
      <c r="Y45" s="63" t="s">
        <v>103</v>
      </c>
    </row>
    <row r="46" spans="1:25" ht="15.6" x14ac:dyDescent="0.3">
      <c r="B46" s="297" t="s">
        <v>166</v>
      </c>
      <c r="C46" s="298"/>
      <c r="D46" s="298"/>
      <c r="E46" s="298"/>
      <c r="F46" s="299"/>
      <c r="G46" s="98"/>
      <c r="H46" s="97"/>
      <c r="I46" s="96"/>
      <c r="J46" s="91" t="str">
        <f>IF(ISERROR((SUMIF(H72,"&gt;0")+SUMIF(H72,"&lt;0"))*100/SUM(H70)),"0.00",(SUMIF(H72,"&gt;0")+SUMIF(H75,"&lt;0"))*100/SUM(H70))</f>
        <v>0.00</v>
      </c>
      <c r="K46" s="94" t="s">
        <v>167</v>
      </c>
      <c r="L46" s="89"/>
      <c r="M46" s="77"/>
      <c r="Q46" s="55"/>
      <c r="T46" s="44" t="e">
        <f>IF(#REF!=SUM(#REF!),Calculations!M11,0)</f>
        <v>#REF!</v>
      </c>
      <c r="U46" s="2">
        <f>IF(ISTEXT(#REF!),0,1)</f>
        <v>1</v>
      </c>
      <c r="V46" s="51" t="e">
        <f>IF(#REF!&gt;0,1,0)</f>
        <v>#REF!</v>
      </c>
      <c r="X46" s="47">
        <v>8</v>
      </c>
      <c r="Y46" s="63" t="s">
        <v>103</v>
      </c>
    </row>
    <row r="47" spans="1:25" ht="15.6" x14ac:dyDescent="0.3">
      <c r="B47" s="297" t="s">
        <v>168</v>
      </c>
      <c r="C47" s="298"/>
      <c r="D47" s="298"/>
      <c r="E47" s="298"/>
      <c r="F47" s="299"/>
      <c r="G47" s="98"/>
      <c r="H47" s="97"/>
      <c r="I47" s="96"/>
      <c r="J47" s="91" t="str">
        <f>IF(ISERROR(SUM(H68)/SUM(H59)), "0.00", SUM(H68)/SUM(H59))</f>
        <v>0.00</v>
      </c>
      <c r="K47" s="94" t="s">
        <v>169</v>
      </c>
      <c r="L47" s="89"/>
      <c r="M47" s="77"/>
      <c r="Q47" s="64"/>
      <c r="R47" s="65"/>
      <c r="S47" s="65"/>
      <c r="T47" s="65"/>
      <c r="U47" s="65"/>
      <c r="V47" s="65"/>
      <c r="W47" s="65"/>
      <c r="X47" s="66">
        <v>9</v>
      </c>
      <c r="Y47" s="67" t="s">
        <v>103</v>
      </c>
    </row>
    <row r="48" spans="1:25" ht="15.6" x14ac:dyDescent="0.3">
      <c r="B48" s="297" t="s">
        <v>170</v>
      </c>
      <c r="C48" s="298"/>
      <c r="D48" s="298"/>
      <c r="E48" s="298"/>
      <c r="F48" s="299"/>
      <c r="G48" s="98"/>
      <c r="H48" s="97"/>
      <c r="I48" s="96"/>
      <c r="J48" s="91" t="str">
        <f>IF(ISERROR((SUMIF(H73,"&gt;0")+SUMIF(H73,"&lt;0"))*100/SUM(H71)),"0.00",(SUMIF(H73,"&gt;0")+SUMIF(H73,"&lt;0"))*100/SUM(H71))</f>
        <v>0.00</v>
      </c>
      <c r="K48" s="92" t="s">
        <v>171</v>
      </c>
      <c r="L48" s="89"/>
      <c r="M48" s="77"/>
    </row>
    <row r="49" spans="2:25" ht="15.6" x14ac:dyDescent="0.3">
      <c r="B49" s="297" t="s">
        <v>205</v>
      </c>
      <c r="C49" s="298"/>
      <c r="D49" s="298"/>
      <c r="E49" s="298"/>
      <c r="F49" s="299"/>
      <c r="G49" s="98" t="s">
        <v>162</v>
      </c>
      <c r="H49" s="99"/>
      <c r="I49" s="96"/>
      <c r="J49" s="91">
        <f t="shared" ref="J49:J55" si="0">H63</f>
        <v>0</v>
      </c>
      <c r="K49" s="92" t="s">
        <v>172</v>
      </c>
      <c r="L49" s="89"/>
      <c r="M49" s="77"/>
      <c r="Q49" s="52"/>
      <c r="R49" s="68" t="s">
        <v>173</v>
      </c>
      <c r="S49" s="53"/>
      <c r="T49" s="53"/>
      <c r="U49" s="53"/>
      <c r="V49" s="53"/>
      <c r="W49" s="53"/>
      <c r="X49" s="53"/>
      <c r="Y49" s="54" t="s">
        <v>82</v>
      </c>
    </row>
    <row r="50" spans="2:25" ht="15.6" x14ac:dyDescent="0.3">
      <c r="B50" s="297" t="s">
        <v>174</v>
      </c>
      <c r="C50" s="304"/>
      <c r="D50" s="304"/>
      <c r="E50" s="304"/>
      <c r="F50" s="305"/>
      <c r="G50" s="98" t="s">
        <v>162</v>
      </c>
      <c r="H50" s="99"/>
      <c r="I50" s="96"/>
      <c r="J50" s="91">
        <f t="shared" si="0"/>
        <v>0</v>
      </c>
      <c r="K50" s="92" t="s">
        <v>175</v>
      </c>
      <c r="L50" s="95" t="str">
        <f>IF(('Facility input'!$D$6)&lt;2012,Calculations!B38,"")</f>
        <v>&lt;===== Please ignore this entry</v>
      </c>
      <c r="M50" s="103"/>
      <c r="Q50" s="55"/>
      <c r="Y50" s="56" t="s">
        <v>111</v>
      </c>
    </row>
    <row r="51" spans="2:25" ht="15.6" x14ac:dyDescent="0.3">
      <c r="B51" s="297" t="s">
        <v>176</v>
      </c>
      <c r="C51" s="298"/>
      <c r="D51" s="298"/>
      <c r="E51" s="298"/>
      <c r="F51" s="299"/>
      <c r="G51" s="98" t="s">
        <v>162</v>
      </c>
      <c r="H51" s="97"/>
      <c r="I51" s="96"/>
      <c r="J51" s="91">
        <f t="shared" si="0"/>
        <v>0</v>
      </c>
      <c r="K51" s="94" t="s">
        <v>177</v>
      </c>
      <c r="L51" s="90"/>
      <c r="M51" s="77"/>
      <c r="Q51" s="55"/>
      <c r="Y51" s="57"/>
    </row>
    <row r="52" spans="2:25" ht="15.6" x14ac:dyDescent="0.3">
      <c r="B52" s="297" t="s">
        <v>178</v>
      </c>
      <c r="C52" s="298"/>
      <c r="D52" s="298"/>
      <c r="E52" s="298"/>
      <c r="F52" s="299"/>
      <c r="G52" s="98" t="s">
        <v>162</v>
      </c>
      <c r="H52" s="97"/>
      <c r="I52" s="96"/>
      <c r="J52" s="91">
        <f t="shared" si="0"/>
        <v>0</v>
      </c>
      <c r="K52" s="94" t="s">
        <v>179</v>
      </c>
      <c r="L52" s="90"/>
      <c r="M52" s="77"/>
      <c r="Q52" s="55"/>
      <c r="R52" s="58"/>
      <c r="S52" s="58"/>
      <c r="Y52" s="57"/>
    </row>
    <row r="53" spans="2:25" ht="15.6" x14ac:dyDescent="0.3">
      <c r="B53" s="297" t="s">
        <v>180</v>
      </c>
      <c r="C53" s="298"/>
      <c r="D53" s="298"/>
      <c r="E53" s="298"/>
      <c r="F53" s="299"/>
      <c r="G53" s="98" t="s">
        <v>181</v>
      </c>
      <c r="H53" s="97"/>
      <c r="I53" s="96"/>
      <c r="J53" s="91">
        <f t="shared" si="0"/>
        <v>0</v>
      </c>
      <c r="K53" s="94" t="s">
        <v>182</v>
      </c>
      <c r="L53" s="90"/>
      <c r="M53" s="77"/>
      <c r="Q53" s="59" t="s">
        <v>96</v>
      </c>
      <c r="R53" s="48" t="b">
        <f>ISTEXT(#REF!)</f>
        <v>0</v>
      </c>
      <c r="T53" s="45" t="e">
        <f>IF(V53=1,SUM(T54:T62),"")</f>
        <v>#REF!</v>
      </c>
      <c r="U53" s="43"/>
      <c r="V53" s="49" t="e">
        <f>SUM(V54:V62)</f>
        <v>#REF!</v>
      </c>
      <c r="X53" s="47">
        <v>0</v>
      </c>
      <c r="Y53" s="60" t="s">
        <v>97</v>
      </c>
    </row>
    <row r="54" spans="2:25" ht="15.6" x14ac:dyDescent="0.3">
      <c r="B54" s="297" t="s">
        <v>183</v>
      </c>
      <c r="C54" s="298"/>
      <c r="D54" s="298"/>
      <c r="E54" s="298"/>
      <c r="F54" s="299"/>
      <c r="G54" s="98" t="s">
        <v>162</v>
      </c>
      <c r="H54" s="97"/>
      <c r="I54" s="96"/>
      <c r="J54" s="91">
        <f t="shared" si="0"/>
        <v>0</v>
      </c>
      <c r="K54" s="94" t="s">
        <v>184</v>
      </c>
      <c r="L54" s="90"/>
      <c r="M54" s="77"/>
      <c r="Q54" s="61" t="s">
        <v>100</v>
      </c>
      <c r="R54" s="48" t="b">
        <f>ISTEXT(#REF!)</f>
        <v>0</v>
      </c>
      <c r="T54" s="44" t="e">
        <f>IF(#REF!=SUM(#REF!),Calculations!N4,0)</f>
        <v>#REF!</v>
      </c>
      <c r="U54" s="2">
        <f>IF(ISTEXT(#REF!),0,1)</f>
        <v>1</v>
      </c>
      <c r="V54" s="50" t="e">
        <f>IF(#REF!&gt;0,1,0)</f>
        <v>#REF!</v>
      </c>
      <c r="X54" s="47">
        <v>1</v>
      </c>
      <c r="Y54" s="62" t="e">
        <f>CONCATENATE("&lt;==== Input default (",T53,") or another value or select from drop-down list")</f>
        <v>#REF!</v>
      </c>
    </row>
    <row r="55" spans="2:25" ht="15" thickBot="1" x14ac:dyDescent="0.35">
      <c r="B55" s="301" t="s">
        <v>185</v>
      </c>
      <c r="C55" s="302"/>
      <c r="D55" s="302"/>
      <c r="E55" s="302"/>
      <c r="F55" s="303"/>
      <c r="G55" s="100" t="s">
        <v>162</v>
      </c>
      <c r="H55" s="102"/>
      <c r="I55" s="101"/>
      <c r="J55" s="91">
        <f t="shared" si="0"/>
        <v>0</v>
      </c>
      <c r="K55" s="94" t="s">
        <v>186</v>
      </c>
      <c r="L55" s="90"/>
      <c r="M55" s="77"/>
      <c r="Q55" s="55"/>
      <c r="T55" s="44" t="e">
        <f>IF(#REF!=SUM(#REF!),Calculations!N5,0)</f>
        <v>#REF!</v>
      </c>
      <c r="U55" s="2">
        <f>IF(ISTEXT(#REF!),0,1)</f>
        <v>1</v>
      </c>
      <c r="V55" s="50" t="e">
        <f>IF(#REF!&gt;0,1,0)</f>
        <v>#REF!</v>
      </c>
      <c r="X55" s="47">
        <v>2</v>
      </c>
      <c r="Y55" s="63" t="s">
        <v>103</v>
      </c>
    </row>
    <row r="56" spans="2:25" ht="14.4" x14ac:dyDescent="0.3">
      <c r="B56" s="77"/>
      <c r="C56" s="77"/>
      <c r="D56" s="77"/>
      <c r="E56" s="77"/>
      <c r="F56" s="77"/>
      <c r="G56" s="77"/>
      <c r="H56" s="77"/>
      <c r="I56" s="77"/>
      <c r="J56" s="78"/>
      <c r="K56" s="79"/>
      <c r="L56" s="77"/>
      <c r="M56" s="80"/>
      <c r="Q56" s="55"/>
      <c r="T56" s="44" t="e">
        <f>IF(#REF!=SUM(#REF!),Calculations!N6,0)</f>
        <v>#REF!</v>
      </c>
      <c r="U56" s="2">
        <f>IF(ISTEXT(#REF!),0,1)</f>
        <v>1</v>
      </c>
      <c r="V56" s="50" t="e">
        <f>IF(#REF!&gt;0,1,0)</f>
        <v>#REF!</v>
      </c>
      <c r="X56" s="47">
        <v>3</v>
      </c>
      <c r="Y56" s="63" t="s">
        <v>103</v>
      </c>
    </row>
    <row r="57" spans="2:25" ht="14.4" x14ac:dyDescent="0.3">
      <c r="B57" s="294" t="str">
        <f>B43</f>
        <v>The tonnes of COD in sludge transferred off site and disposed of at landfill</v>
      </c>
      <c r="C57" s="295"/>
      <c r="D57" s="295"/>
      <c r="E57" s="295"/>
      <c r="F57" s="295"/>
      <c r="G57" s="296"/>
      <c r="H57" s="81">
        <f>'Facility input'!$D$23</f>
        <v>0</v>
      </c>
      <c r="I57" s="81"/>
      <c r="J57" s="81"/>
      <c r="K57" s="81"/>
      <c r="L57" s="77"/>
      <c r="M57" s="82"/>
      <c r="Q57" s="55"/>
      <c r="T57" s="44" t="e">
        <f>IF(#REF!=SUM(#REF!),Calculations!N7,0)</f>
        <v>#REF!</v>
      </c>
      <c r="U57" s="2">
        <f>IF(ISTEXT(#REF!),0,1)</f>
        <v>1</v>
      </c>
      <c r="V57" s="50" t="e">
        <f>IF(#REF!&gt;0,1,0)</f>
        <v>#REF!</v>
      </c>
      <c r="X57" s="47">
        <v>4</v>
      </c>
      <c r="Y57" s="63" t="s">
        <v>103</v>
      </c>
    </row>
    <row r="58" spans="2:25" ht="14.4" x14ac:dyDescent="0.3">
      <c r="B58" s="294" t="str">
        <f>B44</f>
        <v>The tonnes of COD in sludge transferred off site and disposed of at a biochar production facility</v>
      </c>
      <c r="C58" s="295"/>
      <c r="D58" s="295"/>
      <c r="E58" s="295"/>
      <c r="F58" s="295"/>
      <c r="G58" s="296"/>
      <c r="H58" s="81">
        <f>'Facility input'!$D$24</f>
        <v>0</v>
      </c>
      <c r="I58" s="81"/>
      <c r="J58" s="81"/>
      <c r="K58" s="81"/>
      <c r="L58" s="77"/>
      <c r="M58" s="82"/>
      <c r="Q58" s="55"/>
      <c r="T58" s="44"/>
      <c r="U58" s="2"/>
      <c r="V58" s="50"/>
      <c r="X58" s="47"/>
      <c r="Y58" s="63"/>
    </row>
    <row r="59" spans="2:25" ht="14.4" x14ac:dyDescent="0.3">
      <c r="B59" s="294" t="str">
        <f t="shared" ref="B59:B69" si="1">B45</f>
        <v>The tonnes of COD measured entering treatment site</v>
      </c>
      <c r="C59" s="295"/>
      <c r="D59" s="295"/>
      <c r="E59" s="295"/>
      <c r="F59" s="295"/>
      <c r="G59" s="296"/>
      <c r="H59" s="81">
        <f>'Facility input'!$G$19</f>
        <v>0</v>
      </c>
      <c r="I59" s="81"/>
      <c r="J59" s="81"/>
      <c r="K59" s="81"/>
      <c r="L59" s="77"/>
      <c r="M59" s="82"/>
      <c r="Q59" s="55"/>
      <c r="T59" s="44" t="e">
        <f>IF(#REF!=SUM(#REF!),Calculations!N8,0)</f>
        <v>#REF!</v>
      </c>
      <c r="U59" s="2">
        <f>IF(ISTEXT(#REF!),0,1)</f>
        <v>1</v>
      </c>
      <c r="V59" s="50" t="e">
        <f>IF(#REF!&gt;0,1,0)</f>
        <v>#REF!</v>
      </c>
      <c r="X59" s="47">
        <v>5</v>
      </c>
      <c r="Y59" s="63" t="s">
        <v>103</v>
      </c>
    </row>
    <row r="60" spans="2:25" ht="14.4" x14ac:dyDescent="0.3">
      <c r="B60" s="294" t="str">
        <f t="shared" si="1"/>
        <v>The fraction of wastewater anaerobically treated</v>
      </c>
      <c r="C60" s="295"/>
      <c r="D60" s="295"/>
      <c r="E60" s="295"/>
      <c r="F60" s="295"/>
      <c r="G60" s="296"/>
      <c r="H60" s="83" t="str">
        <f>'Facility input'!$H$30</f>
        <v>Firstly, input data (above) for at least one commodity</v>
      </c>
      <c r="I60" s="83"/>
      <c r="J60" s="83"/>
      <c r="K60" s="83"/>
      <c r="L60" s="77"/>
      <c r="M60" s="84"/>
      <c r="Q60" s="55"/>
      <c r="T60" s="44" t="e">
        <f>IF(#REF!=SUM(#REF!),Calculations!M9,0)</f>
        <v>#REF!</v>
      </c>
      <c r="U60" s="2">
        <f>IF(ISTEXT(#REF!),0,1)</f>
        <v>1</v>
      </c>
      <c r="V60" s="51" t="e">
        <f>IF(#REF!&gt;0,1,0)</f>
        <v>#REF!</v>
      </c>
      <c r="X60" s="47">
        <v>6</v>
      </c>
      <c r="Y60" s="63" t="s">
        <v>103</v>
      </c>
    </row>
    <row r="61" spans="2:25" ht="14.4" x14ac:dyDescent="0.3">
      <c r="B61" s="294" t="str">
        <f t="shared" si="1"/>
        <v>The fraction of COD removed as sludge</v>
      </c>
      <c r="C61" s="295"/>
      <c r="D61" s="295"/>
      <c r="E61" s="295"/>
      <c r="F61" s="295"/>
      <c r="G61" s="296"/>
      <c r="H61" s="81">
        <f>'Facility input'!$D$21</f>
        <v>0</v>
      </c>
      <c r="I61" s="81"/>
      <c r="J61" s="81"/>
      <c r="K61" s="81"/>
      <c r="L61" s="77"/>
      <c r="M61" s="84"/>
      <c r="Q61" s="55"/>
      <c r="T61" s="44" t="e">
        <f>IF(#REF!=SUM(#REF!),Calculations!N10,0)</f>
        <v>#REF!</v>
      </c>
      <c r="U61" s="2">
        <f>IF(ISTEXT(#REF!),0,1)</f>
        <v>1</v>
      </c>
      <c r="V61" s="51" t="e">
        <f>IF(#REF!&gt;0,1,0)</f>
        <v>#REF!</v>
      </c>
      <c r="X61" s="47">
        <v>7</v>
      </c>
      <c r="Y61" s="63" t="s">
        <v>103</v>
      </c>
    </row>
    <row r="62" spans="2:25" ht="14.4" x14ac:dyDescent="0.3">
      <c r="B62" s="294" t="str">
        <f t="shared" si="1"/>
        <v>The fraction of COD in sludge anaerobically treated on site</v>
      </c>
      <c r="C62" s="295"/>
      <c r="D62" s="295"/>
      <c r="E62" s="295"/>
      <c r="F62" s="295"/>
      <c r="G62" s="296"/>
      <c r="H62" s="83" t="str">
        <f>'Facility input'!$H$31</f>
        <v>Firstly, input data (above) for at least one commodity</v>
      </c>
      <c r="I62" s="83"/>
      <c r="J62" s="83"/>
      <c r="K62" s="83"/>
      <c r="L62" s="77"/>
      <c r="M62" s="84"/>
      <c r="Q62" s="55"/>
      <c r="T62" s="44" t="e">
        <f>IF(#REF!=SUM(#REF!),Calculations!M11,0)</f>
        <v>#REF!</v>
      </c>
      <c r="U62" s="2">
        <f>IF(ISTEXT(#REF!),0,1)</f>
        <v>1</v>
      </c>
      <c r="V62" s="51" t="e">
        <f>IF(#REF!&gt;0,1,0)</f>
        <v>#REF!</v>
      </c>
      <c r="X62" s="47">
        <v>8</v>
      </c>
      <c r="Y62" s="63" t="s">
        <v>103</v>
      </c>
    </row>
    <row r="63" spans="2:25" ht="14.4" x14ac:dyDescent="0.3">
      <c r="B63" s="294" t="str">
        <f t="shared" si="1"/>
        <v>The tonnes of COD in sludge transferred off site and disposed of at a site other than a landfill or biochar production facility</v>
      </c>
      <c r="C63" s="295"/>
      <c r="D63" s="295"/>
      <c r="E63" s="295"/>
      <c r="F63" s="295"/>
      <c r="G63" s="296"/>
      <c r="H63" s="85">
        <f>'Facility input'!$D$25</f>
        <v>0</v>
      </c>
      <c r="I63" s="85"/>
      <c r="J63" s="85"/>
      <c r="K63" s="85"/>
      <c r="L63" s="77"/>
      <c r="M63" s="86"/>
      <c r="Q63" s="64"/>
      <c r="R63" s="65"/>
      <c r="S63" s="65"/>
      <c r="T63" s="65"/>
      <c r="U63" s="65"/>
      <c r="V63" s="65"/>
      <c r="W63" s="65"/>
      <c r="X63" s="66">
        <v>9</v>
      </c>
      <c r="Y63" s="67" t="s">
        <v>103</v>
      </c>
    </row>
    <row r="64" spans="2:25" ht="14.4" x14ac:dyDescent="0.3">
      <c r="B64" s="294" t="str">
        <f t="shared" si="1"/>
        <v>Tonnes of COD in effluent leaving the site</v>
      </c>
      <c r="C64" s="295"/>
      <c r="D64" s="295"/>
      <c r="E64" s="295"/>
      <c r="F64" s="295"/>
      <c r="G64" s="296"/>
      <c r="H64" s="85">
        <f>'Facility input'!$D26</f>
        <v>0</v>
      </c>
      <c r="I64" s="85"/>
      <c r="J64" s="85"/>
      <c r="K64" s="85"/>
      <c r="L64" s="77"/>
      <c r="M64" s="103"/>
    </row>
    <row r="65" spans="2:13" ht="14.4" x14ac:dyDescent="0.3">
      <c r="B65" s="294" t="str">
        <f t="shared" si="1"/>
        <v>The tonnes of methane (CO2-e) captured for production of electricity on site</v>
      </c>
      <c r="C65" s="295"/>
      <c r="D65" s="295"/>
      <c r="E65" s="295"/>
      <c r="F65" s="295"/>
      <c r="G65" s="296"/>
      <c r="H65" s="81">
        <f>'Facility input'!$D$27*0.0006784*28</f>
        <v>0</v>
      </c>
      <c r="I65" s="81"/>
      <c r="J65" s="81"/>
      <c r="K65" s="81"/>
      <c r="L65" s="77"/>
      <c r="M65" s="82"/>
    </row>
    <row r="66" spans="2:13" ht="14.4" x14ac:dyDescent="0.3">
      <c r="B66" s="294" t="str">
        <f t="shared" si="1"/>
        <v>The tonnes of methane (CO2-e) captured and transferred off site</v>
      </c>
      <c r="C66" s="295"/>
      <c r="D66" s="295"/>
      <c r="E66" s="295"/>
      <c r="F66" s="295"/>
      <c r="G66" s="296"/>
      <c r="H66" s="81">
        <f>'Facility input'!$D$29*0.0006784*28</f>
        <v>0</v>
      </c>
      <c r="I66" s="81"/>
      <c r="J66" s="81"/>
      <c r="K66" s="81"/>
      <c r="L66" s="77"/>
      <c r="M66" s="82"/>
    </row>
    <row r="67" spans="2:13" ht="14.4" x14ac:dyDescent="0.3">
      <c r="B67" s="294" t="str">
        <f t="shared" si="1"/>
        <v>The tonnes of methane (CO2-e) flared</v>
      </c>
      <c r="C67" s="295"/>
      <c r="D67" s="295"/>
      <c r="E67" s="295"/>
      <c r="F67" s="295"/>
      <c r="G67" s="296"/>
      <c r="H67" s="81">
        <f>'Facility input'!$D$28*0.0006784*28</f>
        <v>0</v>
      </c>
      <c r="I67" s="81"/>
      <c r="J67" s="81"/>
      <c r="K67" s="81"/>
      <c r="L67" s="77"/>
      <c r="M67" s="82"/>
    </row>
    <row r="68" spans="2:13" ht="14.4" x14ac:dyDescent="0.3">
      <c r="B68" s="294" t="str">
        <f t="shared" si="1"/>
        <v>The tonnes of COD removed as sludge</v>
      </c>
      <c r="C68" s="295"/>
      <c r="D68" s="295"/>
      <c r="E68" s="295"/>
      <c r="F68" s="295"/>
      <c r="G68" s="296"/>
      <c r="H68" s="85">
        <f>'Facility input'!$D$22</f>
        <v>0</v>
      </c>
      <c r="I68" s="85"/>
      <c r="J68" s="85"/>
      <c r="K68" s="85"/>
      <c r="L68" s="77"/>
      <c r="M68" s="86"/>
    </row>
    <row r="69" spans="2:13" ht="14.4" x14ac:dyDescent="0.3">
      <c r="B69" s="294" t="str">
        <f t="shared" si="1"/>
        <v>The tonnes of emissions (CO2-e) generated</v>
      </c>
      <c r="C69" s="295"/>
      <c r="D69" s="295"/>
      <c r="E69" s="295"/>
      <c r="F69" s="295"/>
      <c r="G69" s="296"/>
      <c r="H69" s="85">
        <f>'Facility input'!$D$47</f>
        <v>0</v>
      </c>
      <c r="I69" s="85"/>
      <c r="J69" s="85"/>
      <c r="K69" s="85"/>
      <c r="L69" s="77"/>
      <c r="M69" s="86"/>
    </row>
    <row r="70" spans="2:13" ht="14.4" x14ac:dyDescent="0.3">
      <c r="B70" s="310" t="s">
        <v>187</v>
      </c>
      <c r="C70" s="311"/>
      <c r="D70" s="311"/>
      <c r="E70" s="311"/>
      <c r="F70" s="311"/>
      <c r="G70" s="311"/>
      <c r="H70" s="85">
        <f>'Facility input'!G19-'Facility input'!D22</f>
        <v>0</v>
      </c>
      <c r="I70" s="85"/>
      <c r="J70" s="85"/>
      <c r="K70" s="85"/>
      <c r="L70" s="77"/>
      <c r="M70" s="86"/>
    </row>
    <row r="71" spans="2:13" ht="14.4" x14ac:dyDescent="0.3">
      <c r="B71" s="308" t="s">
        <v>206</v>
      </c>
      <c r="C71" s="309"/>
      <c r="D71" s="309"/>
      <c r="E71" s="309"/>
      <c r="F71" s="309"/>
      <c r="G71" s="309"/>
      <c r="H71" s="85">
        <f>'Facility input'!D22-'Facility input'!D23-'Facility input'!D24-'Facility input'!D25</f>
        <v>0</v>
      </c>
      <c r="I71" s="85"/>
      <c r="J71" s="85"/>
      <c r="K71" s="85"/>
      <c r="L71" s="77"/>
      <c r="M71" s="86"/>
    </row>
    <row r="72" spans="2:13" ht="14.4" x14ac:dyDescent="0.3">
      <c r="B72" s="308" t="str">
        <f>CONCATENATE(B60,"*",B70)</f>
        <v>The fraction of wastewater anaerobically treated*COD in wastewater treated (CODw-CODsl)</v>
      </c>
      <c r="C72" s="309"/>
      <c r="D72" s="309"/>
      <c r="E72" s="309"/>
      <c r="F72" s="309"/>
      <c r="G72" s="309"/>
      <c r="H72" s="87" t="e">
        <f>H60/100*H70</f>
        <v>#VALUE!</v>
      </c>
      <c r="I72" s="87"/>
      <c r="J72" s="87"/>
      <c r="K72" s="87"/>
      <c r="L72" s="77"/>
      <c r="M72" s="88"/>
    </row>
    <row r="73" spans="2:13" ht="14.4" x14ac:dyDescent="0.3">
      <c r="B73" s="308" t="str">
        <f>CONCATENATE(B62,"*",B71)</f>
        <v>The fraction of COD in sludge anaerobically treated on site*COD in sludge treated (CODsl-CODtrl-CODtrb-CODtro)</v>
      </c>
      <c r="C73" s="309"/>
      <c r="D73" s="309"/>
      <c r="E73" s="309"/>
      <c r="F73" s="309"/>
      <c r="G73" s="309"/>
      <c r="H73" s="87" t="e">
        <f>H62/100*H71</f>
        <v>#VALUE!</v>
      </c>
      <c r="I73" s="87"/>
      <c r="J73" s="87"/>
      <c r="K73" s="87"/>
      <c r="L73" s="77"/>
      <c r="M73" s="88"/>
    </row>
  </sheetData>
  <sheetProtection formatCells="0" formatColumns="0" formatRows="0"/>
  <mergeCells count="31">
    <mergeCell ref="B72:G72"/>
    <mergeCell ref="B73:G73"/>
    <mergeCell ref="B69:G69"/>
    <mergeCell ref="B59:G59"/>
    <mergeCell ref="B60:G60"/>
    <mergeCell ref="B61:G61"/>
    <mergeCell ref="B62:G62"/>
    <mergeCell ref="B63:G63"/>
    <mergeCell ref="B66:G66"/>
    <mergeCell ref="B65:G65"/>
    <mergeCell ref="B71:G71"/>
    <mergeCell ref="B67:G67"/>
    <mergeCell ref="B68:G68"/>
    <mergeCell ref="B70:G70"/>
    <mergeCell ref="B64:G64"/>
    <mergeCell ref="B58:G58"/>
    <mergeCell ref="B57:G57"/>
    <mergeCell ref="B45:F45"/>
    <mergeCell ref="B20:D20"/>
    <mergeCell ref="B53:F53"/>
    <mergeCell ref="B54:F54"/>
    <mergeCell ref="B55:F55"/>
    <mergeCell ref="B49:F49"/>
    <mergeCell ref="B51:F51"/>
    <mergeCell ref="B50:F50"/>
    <mergeCell ref="B43:F43"/>
    <mergeCell ref="B52:F52"/>
    <mergeCell ref="B47:F47"/>
    <mergeCell ref="B48:F48"/>
    <mergeCell ref="B46:F46"/>
    <mergeCell ref="B44:F44"/>
  </mergeCells>
  <hyperlinks>
    <hyperlink ref="K5" r:id="rId1" xr:uid="{00000000-0004-0000-0600-000000000000}"/>
    <hyperlink ref="K4"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Important information</vt:lpstr>
      <vt:lpstr>Menu</vt:lpstr>
      <vt:lpstr>Facility input</vt:lpstr>
      <vt:lpstr>EERS data entry method 1</vt:lpstr>
      <vt:lpstr>EERS data entry methods 2 3</vt:lpstr>
      <vt:lpstr>About</vt:lpstr>
      <vt:lpstr>Calculations</vt:lpstr>
      <vt:lpstr>InpReq</vt:lpstr>
      <vt:lpstr>IPCC_default_treatment_types</vt:lpstr>
      <vt:lpstr>'Facility input'!OLE_LINK13</vt:lpstr>
      <vt:lpstr>PlseDel</vt:lpstr>
      <vt:lpstr>'EERS data entry method 1'!Print_Area</vt:lpstr>
      <vt:lpstr>'EERS data entry methods 2 3'!Print_Area</vt:lpstr>
      <vt:lpstr>'Facility input'!Print_Area</vt:lpstr>
      <vt:lpstr>'Important information'!Print_Area</vt:lpstr>
      <vt:lpstr>Seldrop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2026-06-17T01:11:58Z</dcterms:created>
  <dcterms:modified xsi:type="dcterms:W3CDTF">2026-06-17T01:14:43Z</dcterms:modified>
  <cp:category/>
  <cp:contentStatus/>
</cp:coreProperties>
</file>