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filterPrivacy="1" showInkAnnotation="0" codeName="ThisWorkbook" defaultThemeVersion="124226"/>
  <xr:revisionPtr revIDLastSave="0" documentId="8_{F0E2C511-C73E-49B7-A945-11CF6F3E0CE7}" xr6:coauthVersionLast="45" xr6:coauthVersionMax="45" xr10:uidLastSave="{00000000-0000-0000-0000-000000000000}"/>
  <workbookProtection workbookAlgorithmName="SHA-256" workbookHashValue="T3hOqRymMrhgBD68YNWINgeQvETBZjB3NCQF71RYF34=" workbookSaltValue="Xyu1a0k+d6m3NcbBSqxiOQ==" workbookSpinCount="100000" lockStructure="1"/>
  <bookViews>
    <workbookView xWindow="-110" yWindow="-110" windowWidth="22780" windowHeight="14660" tabRatio="803" xr2:uid="{00000000-000D-0000-FFFF-FFFF00000000}"/>
  </bookViews>
  <sheets>
    <sheet name="Important information" sheetId="47" r:id="rId1"/>
    <sheet name="Menu" sheetId="51" r:id="rId2"/>
    <sheet name="Facility input" sheetId="41" r:id="rId3"/>
    <sheet name="EERS data entry method 1" sheetId="48" r:id="rId4"/>
    <sheet name="EERS data entry methods 2 3" sheetId="49" r:id="rId5"/>
    <sheet name="About" sheetId="52" r:id="rId6"/>
    <sheet name="Calculations" sheetId="42" state="hidden" r:id="rId7"/>
  </sheets>
  <definedNames>
    <definedName name="beer_CODcon">Calculations!#REF!</definedName>
    <definedName name="beer_Fwan">Calculations!#REF!</definedName>
    <definedName name="beer_Wgen">Calculations!#REF!</definedName>
    <definedName name="dairy_CODcon">Calculations!#REF!</definedName>
    <definedName name="dairy_Fwan">Calculations!#REF!</definedName>
    <definedName name="dairy_Wgen">Calculations!#REF!</definedName>
    <definedName name="fruit_CODcon">Calculations!#REF!</definedName>
    <definedName name="fruit_Fwan">Calculations!#REF!</definedName>
    <definedName name="fruit_Wgen">Calculations!#REF!</definedName>
    <definedName name="InpReq">Calculations!$K$25</definedName>
    <definedName name="IPCC_default_treatment_types">Calculations!$F$3:$F$7</definedName>
    <definedName name="meat_CODcon">Calculations!#REF!</definedName>
    <definedName name="meat_Fwan">Calculations!#REF!</definedName>
    <definedName name="meat_Wgen">Calculations!#REF!</definedName>
    <definedName name="OLE_LINK13" localSheetId="2">'Facility input'!$B$2</definedName>
    <definedName name="organic_CODcon">Calculations!#REF!</definedName>
    <definedName name="organic_Fwan">Calculations!#REF!</definedName>
    <definedName name="organic_Wgen">Calculations!#REF!</definedName>
    <definedName name="PlseDel">Calculations!$K$24</definedName>
    <definedName name="_xlnm.Print_Area" localSheetId="3">'EERS data entry method 1'!$A$1:$S$102</definedName>
    <definedName name="_xlnm.Print_Area" localSheetId="4">'EERS data entry methods 2 3'!$A$1:$S$101</definedName>
    <definedName name="_xlnm.Print_Area" localSheetId="2">'Facility input'!$B$1:$F$81</definedName>
    <definedName name="_xlnm.Print_Area" localSheetId="0">'Important information'!$A$1:$A$3</definedName>
    <definedName name="pulp_CODcon">Calculations!#REF!</definedName>
    <definedName name="pulp_Fwan">Calculations!#REF!</definedName>
    <definedName name="pulp_Wgen">Calculations!#REF!</definedName>
    <definedName name="raw_CODcon">Calculations!#REF!</definedName>
    <definedName name="raw_Fwan">Calculations!#REF!</definedName>
    <definedName name="raw_Wgen">Calculations!#REF!</definedName>
    <definedName name="Seldrop">Calculations!$K$27</definedName>
    <definedName name="wine_CODcon">Calculations!#REF!</definedName>
    <definedName name="wine_Fwan">Calculations!#REF!</definedName>
    <definedName name="wine_Wgen">Calculations!#REF!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2" i="41" l="1"/>
  <c r="E31" i="41"/>
  <c r="O56" i="48"/>
  <c r="O55" i="48"/>
  <c r="H65" i="42"/>
  <c r="H64" i="42"/>
  <c r="H63" i="42"/>
  <c r="D33" i="41"/>
  <c r="O46" i="49" l="1"/>
  <c r="O43" i="49" l="1"/>
  <c r="O44" i="49"/>
  <c r="O45" i="49"/>
  <c r="O47" i="49"/>
  <c r="O48" i="49"/>
  <c r="O49" i="49"/>
  <c r="O50" i="49"/>
  <c r="O55" i="49"/>
  <c r="O56" i="49"/>
  <c r="O57" i="49"/>
  <c r="O59" i="49"/>
  <c r="O60" i="49"/>
  <c r="O61" i="49"/>
  <c r="L49" i="42" l="1"/>
  <c r="B56" i="42"/>
  <c r="H56" i="42"/>
  <c r="J43" i="42" s="1"/>
  <c r="B57" i="42"/>
  <c r="B58" i="42"/>
  <c r="B70" i="42" s="1"/>
  <c r="B59" i="42"/>
  <c r="H59" i="42"/>
  <c r="B60" i="42"/>
  <c r="B71" i="42" s="1"/>
  <c r="B61" i="42"/>
  <c r="H61" i="42"/>
  <c r="J48" i="42" s="1"/>
  <c r="B62" i="42"/>
  <c r="H62" i="42"/>
  <c r="J49" i="42" s="1"/>
  <c r="B63" i="42"/>
  <c r="J50" i="42"/>
  <c r="B64" i="42"/>
  <c r="J51" i="42"/>
  <c r="B65" i="42"/>
  <c r="J52" i="42"/>
  <c r="B66" i="42"/>
  <c r="B67" i="42"/>
  <c r="O53" i="48"/>
  <c r="O52" i="48"/>
  <c r="O51" i="48"/>
  <c r="O47" i="48"/>
  <c r="O46" i="48"/>
  <c r="O45" i="48"/>
  <c r="O44" i="48"/>
  <c r="O43" i="48"/>
  <c r="O42" i="48"/>
  <c r="O41" i="48"/>
  <c r="O40" i="48" l="1"/>
  <c r="E19" i="41" l="1"/>
  <c r="O54" i="48" l="1"/>
  <c r="H7" i="41"/>
  <c r="E7" i="41" s="1"/>
  <c r="H32" i="41"/>
  <c r="H31" i="41"/>
  <c r="H6" i="41"/>
  <c r="E6" i="41" s="1"/>
  <c r="D48" i="41"/>
  <c r="V60" i="42"/>
  <c r="U60" i="42"/>
  <c r="T60" i="42"/>
  <c r="V59" i="42"/>
  <c r="U59" i="42"/>
  <c r="T59" i="42"/>
  <c r="V58" i="42"/>
  <c r="U58" i="42"/>
  <c r="T58" i="42"/>
  <c r="V57" i="42"/>
  <c r="U57" i="42"/>
  <c r="T57" i="42"/>
  <c r="V56" i="42"/>
  <c r="U56" i="42"/>
  <c r="T56" i="42"/>
  <c r="V55" i="42"/>
  <c r="U55" i="42"/>
  <c r="T55" i="42"/>
  <c r="V54" i="42"/>
  <c r="U54" i="42"/>
  <c r="T54" i="42"/>
  <c r="V53" i="42"/>
  <c r="U53" i="42"/>
  <c r="T53" i="42"/>
  <c r="R53" i="42"/>
  <c r="R52" i="42"/>
  <c r="V45" i="42"/>
  <c r="U45" i="42"/>
  <c r="T45" i="42"/>
  <c r="V44" i="42"/>
  <c r="U44" i="42"/>
  <c r="T44" i="42"/>
  <c r="V43" i="42"/>
  <c r="U43" i="42"/>
  <c r="T43" i="42"/>
  <c r="V42" i="42"/>
  <c r="U42" i="42"/>
  <c r="T42" i="42"/>
  <c r="V41" i="42"/>
  <c r="U41" i="42"/>
  <c r="T41" i="42"/>
  <c r="V40" i="42"/>
  <c r="U40" i="42"/>
  <c r="T40" i="42"/>
  <c r="V39" i="42"/>
  <c r="V37" i="42" s="1"/>
  <c r="U39" i="42"/>
  <c r="T39" i="42"/>
  <c r="V38" i="42"/>
  <c r="U38" i="42"/>
  <c r="T38" i="42"/>
  <c r="R38" i="42"/>
  <c r="R37" i="42"/>
  <c r="V30" i="42"/>
  <c r="U30" i="42"/>
  <c r="T30" i="42"/>
  <c r="V29" i="42"/>
  <c r="U29" i="42"/>
  <c r="T29" i="42"/>
  <c r="V28" i="42"/>
  <c r="U28" i="42"/>
  <c r="T28" i="42"/>
  <c r="V27" i="42"/>
  <c r="U27" i="42"/>
  <c r="T27" i="42"/>
  <c r="V26" i="42"/>
  <c r="U26" i="42"/>
  <c r="T26" i="42"/>
  <c r="V25" i="42"/>
  <c r="U25" i="42"/>
  <c r="T25" i="42"/>
  <c r="V24" i="42"/>
  <c r="U24" i="42"/>
  <c r="T24" i="42"/>
  <c r="V23" i="42"/>
  <c r="U23" i="42"/>
  <c r="T23" i="42"/>
  <c r="R23" i="42"/>
  <c r="R22" i="42"/>
  <c r="V15" i="42"/>
  <c r="U15" i="42"/>
  <c r="T15" i="42"/>
  <c r="V14" i="42"/>
  <c r="U14" i="42"/>
  <c r="T14" i="42"/>
  <c r="V13" i="42"/>
  <c r="U13" i="42"/>
  <c r="T13" i="42"/>
  <c r="V12" i="42"/>
  <c r="U12" i="42"/>
  <c r="T12" i="42"/>
  <c r="V11" i="42"/>
  <c r="U11" i="42"/>
  <c r="T11" i="42"/>
  <c r="V10" i="42"/>
  <c r="U10" i="42"/>
  <c r="T10" i="42"/>
  <c r="V9" i="42"/>
  <c r="U9" i="42"/>
  <c r="T9" i="42"/>
  <c r="V8" i="42"/>
  <c r="U8" i="42"/>
  <c r="T8" i="42"/>
  <c r="R8" i="42"/>
  <c r="R7" i="42"/>
  <c r="H7" i="42"/>
  <c r="I7" i="42" s="1"/>
  <c r="H6" i="42"/>
  <c r="I6" i="42" s="1"/>
  <c r="H5" i="42"/>
  <c r="I5" i="42" s="1"/>
  <c r="H4" i="42"/>
  <c r="I4" i="42" s="1"/>
  <c r="H3" i="42"/>
  <c r="I3" i="42" s="1"/>
  <c r="B63" i="41"/>
  <c r="B62" i="41"/>
  <c r="B61" i="41"/>
  <c r="B60" i="41"/>
  <c r="B59" i="41"/>
  <c r="B58" i="41"/>
  <c r="B57" i="41"/>
  <c r="B56" i="41"/>
  <c r="B55" i="41"/>
  <c r="D55" i="41"/>
  <c r="E55" i="41"/>
  <c r="D56" i="41"/>
  <c r="E11" i="41" s="1"/>
  <c r="E56" i="41"/>
  <c r="F11" i="41" s="1"/>
  <c r="D57" i="41"/>
  <c r="E12" i="41" s="1"/>
  <c r="E57" i="41"/>
  <c r="F12" i="41" s="1"/>
  <c r="D58" i="41"/>
  <c r="E13" i="41" s="1"/>
  <c r="E58" i="41"/>
  <c r="D59" i="41"/>
  <c r="E14" i="41" s="1"/>
  <c r="E59" i="41"/>
  <c r="F14" i="41" s="1"/>
  <c r="D60" i="41"/>
  <c r="E15" i="41" s="1"/>
  <c r="E60" i="41"/>
  <c r="F15" i="41" s="1"/>
  <c r="D61" i="41"/>
  <c r="E16" i="41" s="1"/>
  <c r="E61" i="41"/>
  <c r="F16" i="41" s="1"/>
  <c r="D62" i="41"/>
  <c r="E17" i="41" s="1"/>
  <c r="E62" i="41"/>
  <c r="F17" i="41" s="1"/>
  <c r="D63" i="41"/>
  <c r="E18" i="41" s="1"/>
  <c r="E63" i="41"/>
  <c r="F18" i="41" s="1"/>
  <c r="B11" i="41"/>
  <c r="B12" i="41"/>
  <c r="B13" i="41"/>
  <c r="B14" i="41"/>
  <c r="B15" i="41"/>
  <c r="B16" i="41"/>
  <c r="B17" i="41"/>
  <c r="B18" i="41"/>
  <c r="H21" i="41"/>
  <c r="E21" i="41" s="1"/>
  <c r="H26" i="41"/>
  <c r="E26" i="41" s="1"/>
  <c r="H27" i="41"/>
  <c r="E27" i="41" s="1"/>
  <c r="H28" i="41"/>
  <c r="E28" i="41" s="1"/>
  <c r="F13" i="41" l="1"/>
  <c r="G13" i="41" s="1"/>
  <c r="G15" i="41"/>
  <c r="G17" i="41"/>
  <c r="G16" i="41"/>
  <c r="G14" i="41"/>
  <c r="G12" i="41"/>
  <c r="G18" i="41"/>
  <c r="G11" i="41"/>
  <c r="V52" i="42"/>
  <c r="T52" i="42" s="1"/>
  <c r="Y53" i="42" s="1"/>
  <c r="V22" i="42"/>
  <c r="T22" i="42" s="1"/>
  <c r="Y23" i="42" s="1"/>
  <c r="V7" i="42"/>
  <c r="T7" i="42" s="1"/>
  <c r="Y8" i="42" s="1"/>
  <c r="T37" i="42"/>
  <c r="Y38" i="42" s="1"/>
  <c r="G19" i="41" l="1"/>
  <c r="H57" i="42" s="1"/>
  <c r="J44" i="42" s="1"/>
  <c r="O51" i="49" s="1"/>
  <c r="H29" i="41"/>
  <c r="H58" i="42" s="1"/>
  <c r="H30" i="41"/>
  <c r="H60" i="42" s="1"/>
  <c r="D22" i="41" l="1"/>
  <c r="H68" i="42" s="1"/>
  <c r="H70" i="42" s="1"/>
  <c r="J45" i="42" s="1"/>
  <c r="H23" i="41"/>
  <c r="E23" i="41" s="1"/>
  <c r="D19" i="41"/>
  <c r="E29" i="41" s="1"/>
  <c r="O48" i="48" l="1"/>
  <c r="O52" i="49"/>
  <c r="D45" i="41"/>
  <c r="H24" i="41"/>
  <c r="E24" i="41" s="1"/>
  <c r="E22" i="41"/>
  <c r="H69" i="42"/>
  <c r="H71" i="42" s="1"/>
  <c r="J47" i="42" s="1"/>
  <c r="O54" i="49" s="1"/>
  <c r="D44" i="41"/>
  <c r="H66" i="42"/>
  <c r="J46" i="42" s="1"/>
  <c r="O49" i="48" s="1"/>
  <c r="H25" i="41"/>
  <c r="E25" i="41" s="1"/>
  <c r="E30" i="41"/>
  <c r="D46" i="41" l="1"/>
  <c r="D5" i="51" s="1"/>
  <c r="D6" i="51" s="1"/>
  <c r="J53" i="42"/>
  <c r="O53" i="49" s="1"/>
  <c r="D50" i="41" l="1"/>
  <c r="D42" i="41" s="1"/>
  <c r="O68" i="48" s="1"/>
  <c r="H67" i="42"/>
  <c r="J54" i="42" s="1"/>
  <c r="O58" i="49" s="1"/>
  <c r="D7" i="51"/>
  <c r="O50" i="48"/>
  <c r="O73" i="49" l="1"/>
</calcChain>
</file>

<file path=xl/sharedStrings.xml><?xml version="1.0" encoding="utf-8"?>
<sst xmlns="http://schemas.openxmlformats.org/spreadsheetml/2006/main" count="319" uniqueCount="203">
  <si>
    <t>Emissions released from wastewater handling (industrial)</t>
  </si>
  <si>
    <t>Total</t>
  </si>
  <si>
    <t>Wastewater</t>
  </si>
  <si>
    <t>Sludge</t>
  </si>
  <si>
    <r>
      <t>F</t>
    </r>
    <r>
      <rPr>
        <vertAlign val="subscript"/>
        <sz val="12"/>
        <rFont val="Calibri"/>
        <family val="2"/>
      </rPr>
      <t>sl</t>
    </r>
    <r>
      <rPr>
        <sz val="12"/>
        <rFont val="Calibri"/>
        <family val="2"/>
      </rPr>
      <t xml:space="preserve"> (Fraction of COD removed as sludge) </t>
    </r>
  </si>
  <si>
    <r>
      <t>COD</t>
    </r>
    <r>
      <rPr>
        <vertAlign val="subscript"/>
        <sz val="12"/>
        <rFont val="Calibri"/>
        <family val="2"/>
      </rPr>
      <t>trl</t>
    </r>
    <r>
      <rPr>
        <sz val="12"/>
        <rFont val="Calibri"/>
        <family val="2"/>
      </rPr>
      <t xml:space="preserve"> (tonnes COD sludge transferred to landfill) </t>
    </r>
  </si>
  <si>
    <r>
      <t>EF</t>
    </r>
    <r>
      <rPr>
        <vertAlign val="subscript"/>
        <sz val="12"/>
        <rFont val="Calibri"/>
        <family val="2"/>
      </rPr>
      <t>wij</t>
    </r>
    <r>
      <rPr>
        <sz val="12"/>
        <rFont val="Calibri"/>
        <family val="2"/>
      </rPr>
      <t xml:space="preserve"> (tonnes CO</t>
    </r>
    <r>
      <rPr>
        <vertAlign val="subscript"/>
        <sz val="12"/>
        <rFont val="Calibri"/>
        <family val="2"/>
      </rPr>
      <t>2</t>
    </r>
    <r>
      <rPr>
        <sz val="12"/>
        <rFont val="Calibri"/>
        <family val="2"/>
      </rPr>
      <t>-e / tonne COD)</t>
    </r>
  </si>
  <si>
    <r>
      <t>EF</t>
    </r>
    <r>
      <rPr>
        <vertAlign val="subscript"/>
        <sz val="12"/>
        <rFont val="Calibri"/>
        <family val="2"/>
      </rPr>
      <t>slij</t>
    </r>
    <r>
      <rPr>
        <sz val="12"/>
        <rFont val="Calibri"/>
        <family val="2"/>
      </rPr>
      <t xml:space="preserve"> (tonnes CO</t>
    </r>
    <r>
      <rPr>
        <vertAlign val="subscript"/>
        <sz val="12"/>
        <rFont val="Calibri"/>
        <family val="2"/>
      </rPr>
      <t>2</t>
    </r>
    <r>
      <rPr>
        <sz val="12"/>
        <rFont val="Calibri"/>
        <family val="2"/>
      </rPr>
      <t>-e / tonne sludge COD)</t>
    </r>
  </si>
  <si>
    <r>
      <t>COD</t>
    </r>
    <r>
      <rPr>
        <vertAlign val="subscript"/>
        <sz val="12"/>
        <rFont val="Calibri"/>
        <family val="2"/>
      </rPr>
      <t xml:space="preserve">sl </t>
    </r>
    <r>
      <rPr>
        <sz val="12"/>
        <rFont val="Calibri"/>
        <family val="2"/>
      </rPr>
      <t>(tonnes COD sludge removed)</t>
    </r>
  </si>
  <si>
    <r>
      <t>W</t>
    </r>
    <r>
      <rPr>
        <vertAlign val="subscript"/>
        <sz val="12"/>
        <rFont val="Calibri"/>
        <family val="2"/>
      </rPr>
      <t>gen,i</t>
    </r>
  </si>
  <si>
    <r>
      <t>COD</t>
    </r>
    <r>
      <rPr>
        <vertAlign val="subscript"/>
        <sz val="12"/>
        <rFont val="Calibri"/>
        <family val="2"/>
      </rPr>
      <t>con,i</t>
    </r>
  </si>
  <si>
    <r>
      <t>Q</t>
    </r>
    <r>
      <rPr>
        <vertAlign val="subscript"/>
        <sz val="12"/>
        <rFont val="Calibri"/>
        <family val="2"/>
      </rPr>
      <t>cap</t>
    </r>
    <r>
      <rPr>
        <sz val="12"/>
        <rFont val="Calibri"/>
        <family val="2"/>
      </rPr>
      <t xml:space="preserve"> (m³ CH</t>
    </r>
    <r>
      <rPr>
        <vertAlign val="subscript"/>
        <sz val="12"/>
        <rFont val="Calibri"/>
        <family val="2"/>
      </rPr>
      <t>4</t>
    </r>
    <r>
      <rPr>
        <sz val="12"/>
        <rFont val="Calibri"/>
        <family val="2"/>
      </rPr>
      <t xml:space="preserve"> in sludge biogas for combustion) </t>
    </r>
  </si>
  <si>
    <r>
      <t>Q</t>
    </r>
    <r>
      <rPr>
        <vertAlign val="subscript"/>
        <sz val="12"/>
        <rFont val="Calibri"/>
        <family val="2"/>
      </rPr>
      <t>flared</t>
    </r>
    <r>
      <rPr>
        <sz val="12"/>
        <rFont val="Calibri"/>
        <family val="2"/>
      </rPr>
      <t xml:space="preserve"> (m³ CH</t>
    </r>
    <r>
      <rPr>
        <vertAlign val="subscript"/>
        <sz val="12"/>
        <rFont val="Calibri"/>
        <family val="2"/>
      </rPr>
      <t>4</t>
    </r>
    <r>
      <rPr>
        <sz val="12"/>
        <rFont val="Calibri"/>
        <family val="2"/>
      </rPr>
      <t xml:space="preserve"> in sludge biogas flared) </t>
    </r>
  </si>
  <si>
    <r>
      <t>Q</t>
    </r>
    <r>
      <rPr>
        <vertAlign val="subscript"/>
        <sz val="12"/>
        <rFont val="Calibri"/>
        <family val="2"/>
      </rPr>
      <t>tr</t>
    </r>
    <r>
      <rPr>
        <sz val="12"/>
        <rFont val="Calibri"/>
        <family val="2"/>
      </rPr>
      <t xml:space="preserve"> (m³ CH</t>
    </r>
    <r>
      <rPr>
        <vertAlign val="subscript"/>
        <sz val="12"/>
        <rFont val="Calibri"/>
        <family val="2"/>
      </rPr>
      <t>4</t>
    </r>
    <r>
      <rPr>
        <sz val="12"/>
        <rFont val="Calibri"/>
        <family val="2"/>
      </rPr>
      <t xml:space="preserve"> in sludge biogas transferred elsewhere) </t>
    </r>
  </si>
  <si>
    <r>
      <t>COD</t>
    </r>
    <r>
      <rPr>
        <vertAlign val="subscript"/>
        <sz val="12"/>
        <rFont val="Calibri"/>
        <family val="2"/>
      </rPr>
      <t>tro</t>
    </r>
    <r>
      <rPr>
        <sz val="12"/>
        <rFont val="Calibri"/>
        <family val="2"/>
      </rPr>
      <t xml:space="preserve"> (tonnes COD sludge transferred not landfill) </t>
    </r>
  </si>
  <si>
    <t>Dairy product (ANZSIC code 113)</t>
  </si>
  <si>
    <t>Pulp, paper and paperboard (ANZSIC code 1510)</t>
  </si>
  <si>
    <t>Meat and poultry (ANZSIC codes 1111 and 1112)</t>
  </si>
  <si>
    <t>Organic chemicals (ANZSIC codes 18 and 19)</t>
  </si>
  <si>
    <t>Raw sugar (ANZSIC code 1181)</t>
  </si>
  <si>
    <t>Beer (ANZSIC code 1212)</t>
  </si>
  <si>
    <t>Wine and other alcoholic beverage (ANZSIC code 1214)</t>
  </si>
  <si>
    <r>
      <t>CH</t>
    </r>
    <r>
      <rPr>
        <vertAlign val="subscript"/>
        <sz val="12"/>
        <rFont val="Calibri"/>
        <family val="2"/>
      </rPr>
      <t>4gen</t>
    </r>
    <r>
      <rPr>
        <sz val="12"/>
        <rFont val="Calibri"/>
        <family val="2"/>
      </rPr>
      <t xml:space="preserve"> = [(COD</t>
    </r>
    <r>
      <rPr>
        <vertAlign val="subscript"/>
        <sz val="12"/>
        <rFont val="Calibri"/>
        <family val="2"/>
      </rPr>
      <t>wi</t>
    </r>
    <r>
      <rPr>
        <sz val="12"/>
        <rFont val="Calibri"/>
        <family val="2"/>
      </rPr>
      <t xml:space="preserve"> - COD</t>
    </r>
    <r>
      <rPr>
        <vertAlign val="subscript"/>
        <sz val="12"/>
        <rFont val="Calibri"/>
        <family val="2"/>
      </rPr>
      <t>sl</t>
    </r>
    <r>
      <rPr>
        <sz val="12"/>
        <rFont val="Calibri"/>
        <family val="2"/>
      </rPr>
      <t xml:space="preserve"> - COD</t>
    </r>
    <r>
      <rPr>
        <vertAlign val="subscript"/>
        <sz val="12"/>
        <rFont val="Calibri"/>
        <family val="2"/>
      </rPr>
      <t>eff</t>
    </r>
    <r>
      <rPr>
        <sz val="12"/>
        <rFont val="Calibri"/>
        <family val="2"/>
      </rPr>
      <t>) x (F</t>
    </r>
    <r>
      <rPr>
        <vertAlign val="subscript"/>
        <sz val="12"/>
        <rFont val="Calibri"/>
        <family val="2"/>
      </rPr>
      <t>wan</t>
    </r>
    <r>
      <rPr>
        <sz val="12"/>
        <rFont val="Calibri"/>
        <family val="2"/>
      </rPr>
      <t xml:space="preserve"> x EF</t>
    </r>
    <r>
      <rPr>
        <vertAlign val="subscript"/>
        <sz val="12"/>
        <rFont val="Calibri"/>
        <family val="2"/>
      </rPr>
      <t>wij</t>
    </r>
    <r>
      <rPr>
        <sz val="12"/>
        <rFont val="Calibri"/>
        <family val="2"/>
      </rPr>
      <t>)] + [(COD</t>
    </r>
    <r>
      <rPr>
        <vertAlign val="subscript"/>
        <sz val="12"/>
        <rFont val="Calibri"/>
        <family val="2"/>
      </rPr>
      <t>sl</t>
    </r>
    <r>
      <rPr>
        <sz val="12"/>
        <rFont val="Calibri"/>
        <family val="2"/>
      </rPr>
      <t xml:space="preserve"> - COD</t>
    </r>
    <r>
      <rPr>
        <vertAlign val="subscript"/>
        <sz val="12"/>
        <rFont val="Calibri"/>
        <family val="2"/>
      </rPr>
      <t>trl</t>
    </r>
    <r>
      <rPr>
        <sz val="12"/>
        <rFont val="Calibri"/>
        <family val="2"/>
      </rPr>
      <t xml:space="preserve"> - COD</t>
    </r>
    <r>
      <rPr>
        <vertAlign val="subscript"/>
        <sz val="12"/>
        <rFont val="Calibri"/>
        <family val="2"/>
      </rPr>
      <t>tro</t>
    </r>
    <r>
      <rPr>
        <sz val="12"/>
        <rFont val="Calibri"/>
        <family val="2"/>
      </rPr>
      <t>) x F</t>
    </r>
    <r>
      <rPr>
        <vertAlign val="subscript"/>
        <sz val="12"/>
        <rFont val="Calibri"/>
        <family val="2"/>
      </rPr>
      <t>slan</t>
    </r>
    <r>
      <rPr>
        <sz val="12"/>
        <rFont val="Calibri"/>
        <family val="2"/>
      </rPr>
      <t xml:space="preserve"> x EF</t>
    </r>
    <r>
      <rPr>
        <vertAlign val="subscript"/>
        <sz val="12"/>
        <rFont val="Calibri"/>
        <family val="2"/>
      </rPr>
      <t>slij</t>
    </r>
    <r>
      <rPr>
        <sz val="12"/>
        <rFont val="Calibri"/>
        <family val="2"/>
      </rPr>
      <t>] =</t>
    </r>
  </si>
  <si>
    <t>managed aerobic treatment: 0</t>
  </si>
  <si>
    <t>unmanaged aerobic treatment: 0.3</t>
  </si>
  <si>
    <t>shallow anaerobic lagoon (&lt;2 metres): 0.2</t>
  </si>
  <si>
    <t>deep anaerobic lagoon (&gt;2 metres): 0.8</t>
  </si>
  <si>
    <t>unmanaged aerobic</t>
  </si>
  <si>
    <t>managed aerobic</t>
  </si>
  <si>
    <t>anaer. lagoon (&lt;2m deep)</t>
  </si>
  <si>
    <t>anaer. lagoon (&gt;2m deep)</t>
  </si>
  <si>
    <r>
      <t>Units of measurement (Prod</t>
    </r>
    <r>
      <rPr>
        <vertAlign val="subscript"/>
        <sz val="12"/>
        <rFont val="Calibri"/>
        <family val="2"/>
      </rPr>
      <t>i</t>
    </r>
    <r>
      <rPr>
        <sz val="12"/>
        <rFont val="Calibri"/>
        <family val="2"/>
      </rPr>
      <t>)</t>
    </r>
  </si>
  <si>
    <t>tonne of product</t>
  </si>
  <si>
    <t>tonne of product (hot standard carcass weight or live weight basis)</t>
  </si>
  <si>
    <t>tonne of raw sugar produced (raw sugar equivalent)</t>
  </si>
  <si>
    <t>Commodity</t>
  </si>
  <si>
    <t>N/A, no input required</t>
  </si>
  <si>
    <t>Firstly, input data (above) for at least one commodity</t>
  </si>
  <si>
    <t>Fruit and vegetable (ANZSIC code 1140)</t>
  </si>
  <si>
    <t>Industrial plant 1</t>
  </si>
  <si>
    <r>
      <t>a</t>
    </r>
    <r>
      <rPr>
        <sz val="11"/>
        <color indexed="8"/>
        <rFont val="Calibri"/>
        <family val="2"/>
      </rPr>
      <t>naerobic digester/reactor</t>
    </r>
  </si>
  <si>
    <t>anaerobic digester/reactor: 0.8</t>
  </si>
  <si>
    <t>Industrial plant 2</t>
  </si>
  <si>
    <t>Industrial plant 3</t>
  </si>
  <si>
    <t>Industrial plant 4</t>
  </si>
  <si>
    <t>AFTER data has been inputted for all plants, each in a separate worksheet, use "OSCAR industrial wastewater" worksheet to input combined plant data into OSCAR.</t>
  </si>
  <si>
    <r>
      <t>COD</t>
    </r>
    <r>
      <rPr>
        <vertAlign val="subscript"/>
        <sz val="12"/>
        <rFont val="Calibri"/>
        <family val="2"/>
      </rPr>
      <t>w,i</t>
    </r>
    <r>
      <rPr>
        <sz val="12"/>
        <rFont val="Calibri"/>
        <family val="2"/>
      </rPr>
      <t xml:space="preserve"> (tonnes COD in wastewater entering plant)</t>
    </r>
  </si>
  <si>
    <t>tonnes</t>
  </si>
  <si>
    <t>t CO2-e</t>
  </si>
  <si>
    <t>Complete worksheet Industrial plant 1.</t>
  </si>
  <si>
    <t>Complete worksheets Industrial plant 1-4 according to the number of plants at a single facility e.g. if you only have 1 plant at the facility then only fill in Industrial plant 1.</t>
  </si>
  <si>
    <t>Populate OSCAR fields with values in column I after filling in worksheet Industrial plant 1. You can use copy/paste.</t>
  </si>
  <si>
    <t>Populate OSCAR fields with values in column I after filling in worksheets Industrial plant 1-4 as required. You can use copy/paste. The values are combined for all plants at the facility i.e. quantities are summed and factors are averaged by weight of relevant quantities.</t>
  </si>
  <si>
    <t>COD in sludge treated (CODsl-CODtrl-CODtro)</t>
  </si>
  <si>
    <t>COD in wastewater treated (CODw-CODsl)</t>
  </si>
  <si>
    <t>The tonnes of COD measured entering treatment site</t>
  </si>
  <si>
    <t>The fraction of wastewater anaerobically treated</t>
  </si>
  <si>
    <r>
      <t>MCF</t>
    </r>
    <r>
      <rPr>
        <vertAlign val="subscript"/>
        <sz val="12"/>
        <rFont val="Calibri"/>
        <family val="2"/>
      </rPr>
      <t xml:space="preserve">ww </t>
    </r>
    <r>
      <rPr>
        <sz val="12"/>
        <rFont val="Calibri"/>
        <family val="2"/>
      </rPr>
      <t>(Fraction of wastewater COD treated anaerobically)</t>
    </r>
  </si>
  <si>
    <r>
      <t>MCF</t>
    </r>
    <r>
      <rPr>
        <vertAlign val="subscript"/>
        <sz val="12"/>
        <rFont val="Calibri"/>
        <family val="2"/>
      </rPr>
      <t>sl</t>
    </r>
    <r>
      <rPr>
        <sz val="12"/>
        <rFont val="Calibri"/>
        <family val="2"/>
      </rPr>
      <t xml:space="preserve"> (Fraction sludge COD treated anaerobically) </t>
    </r>
  </si>
  <si>
    <t>The fraction of COD removed as sludge</t>
  </si>
  <si>
    <r>
      <t>The tonnes of methane (CO</t>
    </r>
    <r>
      <rPr>
        <vertAlign val="subscript"/>
        <sz val="11"/>
        <color indexed="8"/>
        <rFont val="Calibri"/>
        <family val="2"/>
      </rPr>
      <t>2</t>
    </r>
    <r>
      <rPr>
        <sz val="11"/>
        <color indexed="8"/>
        <rFont val="Calibri"/>
        <family val="2"/>
      </rPr>
      <t>-e) flared</t>
    </r>
  </si>
  <si>
    <r>
      <t>The tonnes of emissions (CO</t>
    </r>
    <r>
      <rPr>
        <vertAlign val="subscript"/>
        <sz val="11"/>
        <color indexed="8"/>
        <rFont val="Calibri"/>
        <family val="2"/>
      </rPr>
      <t>2</t>
    </r>
    <r>
      <rPr>
        <sz val="11"/>
        <color indexed="8"/>
        <rFont val="Calibri"/>
        <family val="2"/>
      </rPr>
      <t>-e) generated</t>
    </r>
  </si>
  <si>
    <t>The fraction of COD in sludge anaerobically treated on site</t>
  </si>
  <si>
    <t>The tonnes of COD in sludge transferred off site and disposed of at landfill</t>
  </si>
  <si>
    <t>The tonnes of COD in sludge transferred off site and disposed of at a site other than landfill</t>
  </si>
  <si>
    <r>
      <t>The tonnes of methane (CO</t>
    </r>
    <r>
      <rPr>
        <vertAlign val="subscript"/>
        <sz val="11"/>
        <color indexed="8"/>
        <rFont val="Calibri"/>
        <family val="2"/>
      </rPr>
      <t>2</t>
    </r>
    <r>
      <rPr>
        <sz val="11"/>
        <color indexed="8"/>
        <rFont val="Calibri"/>
        <family val="2"/>
      </rPr>
      <t>-e) captured for production of electricity on site</t>
    </r>
  </si>
  <si>
    <r>
      <t>The tonnes of methane (CO</t>
    </r>
    <r>
      <rPr>
        <vertAlign val="subscript"/>
        <sz val="11"/>
        <color indexed="8"/>
        <rFont val="Calibri"/>
        <family val="2"/>
      </rPr>
      <t>2</t>
    </r>
    <r>
      <rPr>
        <sz val="11"/>
        <color indexed="8"/>
        <rFont val="Calibri"/>
        <family val="2"/>
      </rPr>
      <t>-e) captured and transferred off site</t>
    </r>
  </si>
  <si>
    <t>The tonnes of COD removed as sludge</t>
  </si>
  <si>
    <t>Tonnes of COD in effluent leaving the site</t>
  </si>
  <si>
    <t>Column C descriptions</t>
  </si>
  <si>
    <t>Cell</t>
  </si>
  <si>
    <t>Reporting year</t>
  </si>
  <si>
    <t>2008-09 to 2010-11</t>
  </si>
  <si>
    <t>A10</t>
  </si>
  <si>
    <t>CH4gen = [(CODwi - CODsl - CODeff) x (MCFww x EFwij)] + [(CODsl - CODtrl - CODtro) x MCFsl x EFslij] =</t>
  </si>
  <si>
    <t>C41</t>
  </si>
  <si>
    <t>C42</t>
  </si>
  <si>
    <r>
      <t>F</t>
    </r>
    <r>
      <rPr>
        <vertAlign val="subscript"/>
        <sz val="12"/>
        <rFont val="Calibri"/>
        <family val="2"/>
      </rPr>
      <t xml:space="preserve">wan </t>
    </r>
    <r>
      <rPr>
        <sz val="12"/>
        <rFont val="Calibri"/>
        <family val="2"/>
      </rPr>
      <t>(Fraction of wastewater COD treated anaerobically)</t>
    </r>
  </si>
  <si>
    <r>
      <t>F</t>
    </r>
    <r>
      <rPr>
        <vertAlign val="subscript"/>
        <sz val="12"/>
        <rFont val="Calibri"/>
        <family val="2"/>
      </rPr>
      <t>slan</t>
    </r>
    <r>
      <rPr>
        <sz val="12"/>
        <rFont val="Calibri"/>
        <family val="2"/>
      </rPr>
      <t xml:space="preserve"> (Fraction sludge COD treated anaerobically) </t>
    </r>
  </si>
  <si>
    <t>C43</t>
  </si>
  <si>
    <t>C33</t>
  </si>
  <si>
    <t>C34</t>
  </si>
  <si>
    <t>C35</t>
  </si>
  <si>
    <t>C36</t>
  </si>
  <si>
    <t>C37</t>
  </si>
  <si>
    <t>C38</t>
  </si>
  <si>
    <t>C39</t>
  </si>
  <si>
    <t>C40</t>
  </si>
  <si>
    <t>C44</t>
  </si>
  <si>
    <t>C45</t>
  </si>
  <si>
    <t>MCFsl</t>
  </si>
  <si>
    <t>MCFww</t>
  </si>
  <si>
    <t>&lt;======= Input reporting year</t>
  </si>
  <si>
    <t>-</t>
  </si>
  <si>
    <t>&lt;==== Input reporting year</t>
  </si>
  <si>
    <t>Input required in other fields</t>
  </si>
  <si>
    <t>&lt;==== Input required</t>
  </si>
  <si>
    <t>&lt;==== Select from drop-down list or input another numerical value</t>
  </si>
  <si>
    <t>PlseDel</t>
  </si>
  <si>
    <t>Please delete</t>
  </si>
  <si>
    <t>InpReq</t>
  </si>
  <si>
    <t>Please enter a positive numerical value</t>
  </si>
  <si>
    <t>OSCAR Industrial wastewater sheet</t>
  </si>
  <si>
    <t>K201</t>
  </si>
  <si>
    <t>&lt;===== Please ignore this entry</t>
  </si>
  <si>
    <t>=CH4gen</t>
  </si>
  <si>
    <r>
      <t>MCFww (F</t>
    </r>
    <r>
      <rPr>
        <vertAlign val="subscript"/>
        <sz val="12"/>
        <rFont val="Calibri"/>
        <family val="2"/>
      </rPr>
      <t>wan</t>
    </r>
    <r>
      <rPr>
        <sz val="12"/>
        <rFont val="Calibri"/>
        <family val="2"/>
      </rPr>
      <t>)</t>
    </r>
  </si>
  <si>
    <t>Method</t>
  </si>
  <si>
    <t>MTBI</t>
  </si>
  <si>
    <t>Enter emissions of methane</t>
  </si>
  <si>
    <r>
      <t>=COD</t>
    </r>
    <r>
      <rPr>
        <b/>
        <vertAlign val="subscript"/>
        <sz val="11"/>
        <rFont val="Calibri"/>
        <family val="2"/>
      </rPr>
      <t>trl</t>
    </r>
  </si>
  <si>
    <r>
      <t>=COD</t>
    </r>
    <r>
      <rPr>
        <b/>
        <vertAlign val="subscript"/>
        <sz val="11"/>
        <color indexed="8"/>
        <rFont val="Calibri"/>
        <family val="2"/>
      </rPr>
      <t>w,i</t>
    </r>
  </si>
  <si>
    <r>
      <t>=MCF</t>
    </r>
    <r>
      <rPr>
        <b/>
        <vertAlign val="subscript"/>
        <sz val="11"/>
        <color indexed="8"/>
        <rFont val="Calibri"/>
        <family val="2"/>
      </rPr>
      <t>ww</t>
    </r>
  </si>
  <si>
    <r>
      <t>=COD</t>
    </r>
    <r>
      <rPr>
        <b/>
        <vertAlign val="subscript"/>
        <sz val="11"/>
        <rFont val="Calibri"/>
        <family val="2"/>
      </rPr>
      <t>tro</t>
    </r>
  </si>
  <si>
    <r>
      <t>=COD</t>
    </r>
    <r>
      <rPr>
        <b/>
        <vertAlign val="subscript"/>
        <sz val="11"/>
        <rFont val="Calibri"/>
        <family val="2"/>
      </rPr>
      <t>eff</t>
    </r>
  </si>
  <si>
    <r>
      <t>=COD</t>
    </r>
    <r>
      <rPr>
        <b/>
        <vertAlign val="subscript"/>
        <sz val="11"/>
        <color indexed="8"/>
        <rFont val="Calibri"/>
        <family val="2"/>
      </rPr>
      <t>w,i</t>
    </r>
    <r>
      <rPr>
        <b/>
        <sz val="11"/>
        <color indexed="8"/>
        <rFont val="Calibri"/>
        <family val="2"/>
      </rPr>
      <t>*F</t>
    </r>
    <r>
      <rPr>
        <b/>
        <vertAlign val="subscript"/>
        <sz val="11"/>
        <color indexed="8"/>
        <rFont val="Calibri"/>
        <family val="2"/>
      </rPr>
      <t>sl</t>
    </r>
  </si>
  <si>
    <r>
      <t>=F</t>
    </r>
    <r>
      <rPr>
        <b/>
        <vertAlign val="subscript"/>
        <sz val="11"/>
        <color indexed="8"/>
        <rFont val="Calibri"/>
        <family val="2"/>
      </rPr>
      <t>sl</t>
    </r>
  </si>
  <si>
    <r>
      <t>=MCF</t>
    </r>
    <r>
      <rPr>
        <b/>
        <vertAlign val="subscript"/>
        <sz val="11"/>
        <rFont val="Calibri"/>
        <family val="2"/>
      </rPr>
      <t>sl</t>
    </r>
  </si>
  <si>
    <r>
      <t xml:space="preserve">For Method 1 enter </t>
    </r>
    <r>
      <rPr>
        <b/>
        <i/>
        <sz val="14"/>
        <color indexed="8"/>
        <rFont val="Calibri"/>
        <family val="2"/>
      </rPr>
      <t>Prod</t>
    </r>
    <r>
      <rPr>
        <b/>
        <i/>
        <vertAlign val="subscript"/>
        <sz val="14"/>
        <color indexed="8"/>
        <rFont val="Calibri"/>
        <family val="2"/>
      </rPr>
      <t>i</t>
    </r>
    <r>
      <rPr>
        <b/>
        <sz val="14"/>
        <color indexed="8"/>
        <rFont val="Calibri"/>
        <family val="2"/>
      </rPr>
      <t xml:space="preserve">, </t>
    </r>
    <r>
      <rPr>
        <b/>
        <i/>
        <sz val="14"/>
        <color indexed="8"/>
        <rFont val="Calibri"/>
        <family val="2"/>
      </rPr>
      <t>W</t>
    </r>
    <r>
      <rPr>
        <b/>
        <i/>
        <vertAlign val="subscript"/>
        <sz val="14"/>
        <color indexed="8"/>
        <rFont val="Calibri"/>
        <family val="2"/>
      </rPr>
      <t>gen,i</t>
    </r>
    <r>
      <rPr>
        <b/>
        <sz val="14"/>
        <color indexed="8"/>
        <rFont val="Calibri"/>
        <family val="2"/>
      </rPr>
      <t xml:space="preserve">, </t>
    </r>
    <r>
      <rPr>
        <b/>
        <i/>
        <sz val="14"/>
        <color indexed="8"/>
        <rFont val="Calibri"/>
        <family val="2"/>
      </rPr>
      <t>COD</t>
    </r>
    <r>
      <rPr>
        <b/>
        <i/>
        <vertAlign val="subscript"/>
        <sz val="14"/>
        <color indexed="8"/>
        <rFont val="Calibri"/>
        <family val="2"/>
      </rPr>
      <t>con,I</t>
    </r>
    <r>
      <rPr>
        <b/>
        <sz val="14"/>
        <color indexed="8"/>
        <rFont val="Calibri"/>
        <family val="2"/>
      </rPr>
      <t xml:space="preserve"> to determine </t>
    </r>
    <r>
      <rPr>
        <b/>
        <i/>
        <sz val="14"/>
        <color indexed="8"/>
        <rFont val="Calibri"/>
        <family val="2"/>
      </rPr>
      <t>COD</t>
    </r>
    <r>
      <rPr>
        <b/>
        <i/>
        <vertAlign val="subscript"/>
        <sz val="14"/>
        <color indexed="8"/>
        <rFont val="Calibri"/>
        <family val="2"/>
      </rPr>
      <t>w,i</t>
    </r>
    <r>
      <rPr>
        <b/>
        <sz val="14"/>
        <color indexed="8"/>
        <rFont val="Calibri"/>
        <family val="2"/>
      </rPr>
      <t>. Default values can be selected from the table at the bottom of this sheet.</t>
    </r>
  </si>
  <si>
    <r>
      <rPr>
        <b/>
        <sz val="11"/>
        <color indexed="8"/>
        <rFont val="Calibri"/>
        <family val="2"/>
      </rPr>
      <t>NOTE:</t>
    </r>
    <r>
      <rPr>
        <sz val="11"/>
        <color indexed="8"/>
        <rFont val="Calibri"/>
        <family val="2"/>
      </rPr>
      <t xml:space="preserve"> Please directly enter the tonnes of industrial wastewater produced by commodity type. This value can be estimated in accordance with industry practice or by multiplying the amount of commodity produced (</t>
    </r>
    <r>
      <rPr>
        <b/>
        <i/>
        <sz val="11"/>
        <color indexed="8"/>
        <rFont val="Calibri"/>
        <family val="2"/>
      </rPr>
      <t>Prod</t>
    </r>
    <r>
      <rPr>
        <b/>
        <i/>
        <vertAlign val="subscript"/>
        <sz val="11"/>
        <color indexed="8"/>
        <rFont val="Calibri"/>
        <family val="2"/>
      </rPr>
      <t>i</t>
    </r>
    <r>
      <rPr>
        <sz val="11"/>
        <color indexed="8"/>
        <rFont val="Calibri"/>
        <family val="2"/>
      </rPr>
      <t>) with the relevant wastewater generation rate (</t>
    </r>
    <r>
      <rPr>
        <b/>
        <i/>
        <sz val="11"/>
        <color indexed="8"/>
        <rFont val="Calibri"/>
        <family val="2"/>
      </rPr>
      <t>W</t>
    </r>
    <r>
      <rPr>
        <b/>
        <i/>
        <vertAlign val="subscript"/>
        <sz val="11"/>
        <color indexed="8"/>
        <rFont val="Calibri"/>
        <family val="2"/>
      </rPr>
      <t>gen,i</t>
    </r>
    <r>
      <rPr>
        <sz val="11"/>
        <color indexed="8"/>
        <rFont val="Calibri"/>
        <family val="2"/>
      </rPr>
      <t>) and an appropriate conversion factor to convert kilolitres to tonnes.</t>
    </r>
  </si>
  <si>
    <r>
      <t>CH</t>
    </r>
    <r>
      <rPr>
        <vertAlign val="subscript"/>
        <sz val="12"/>
        <rFont val="Calibri"/>
        <family val="2"/>
      </rPr>
      <t>4</t>
    </r>
    <r>
      <rPr>
        <vertAlign val="superscript"/>
        <sz val="12"/>
        <rFont val="Calibri"/>
        <family val="2"/>
      </rPr>
      <t>*</t>
    </r>
    <r>
      <rPr>
        <sz val="12"/>
        <rFont val="Calibri"/>
        <family val="2"/>
      </rPr>
      <t xml:space="preserve"> (CH</t>
    </r>
    <r>
      <rPr>
        <vertAlign val="subscript"/>
        <sz val="12"/>
        <rFont val="Calibri"/>
        <family val="2"/>
      </rPr>
      <t>4</t>
    </r>
    <r>
      <rPr>
        <sz val="12"/>
        <rFont val="Calibri"/>
        <family val="2"/>
      </rPr>
      <t xml:space="preserve"> in biogas released, in t CO</t>
    </r>
    <r>
      <rPr>
        <vertAlign val="subscript"/>
        <sz val="12"/>
        <rFont val="Calibri"/>
        <family val="2"/>
      </rPr>
      <t>2</t>
    </r>
    <r>
      <rPr>
        <sz val="12"/>
        <rFont val="Calibri"/>
        <family val="2"/>
      </rPr>
      <t>-e)</t>
    </r>
  </si>
  <si>
    <t>&lt;==== Select from drop-down list</t>
  </si>
  <si>
    <t>Seldrop</t>
  </si>
  <si>
    <r>
      <t>COD</t>
    </r>
    <r>
      <rPr>
        <vertAlign val="subscript"/>
        <sz val="12"/>
        <rFont val="Calibri"/>
        <family val="2"/>
      </rPr>
      <t>trl</t>
    </r>
    <r>
      <rPr>
        <sz val="12"/>
        <rFont val="Calibri"/>
        <family val="2"/>
      </rPr>
      <t xml:space="preserve"> (tonnes, quantity of COD in sludge transferred out of the plant and removed to landfill) </t>
    </r>
  </si>
  <si>
    <t>AFTER data has been inputted in this worksheet for the plant, use "EERS data entry" worksheet to report into EERS.</t>
  </si>
  <si>
    <t>INSTRUCTIONS</t>
  </si>
  <si>
    <t>MENU</t>
  </si>
  <si>
    <t>View emissions data and instructions for entry into EERS using method 1</t>
  </si>
  <si>
    <t>View emissions data and instructions for entry into EERS using method 2 or 3</t>
  </si>
  <si>
    <t>Enter data to calculate emissions using method 1, 2 or 3</t>
  </si>
  <si>
    <t>Reporting period</t>
  </si>
  <si>
    <t>Method used for data entry</t>
  </si>
  <si>
    <r>
      <rPr>
        <b/>
        <sz val="12"/>
        <color rgb="FF000000"/>
        <rFont val="Calibri"/>
        <family val="2"/>
      </rPr>
      <t>Note:</t>
    </r>
    <r>
      <rPr>
        <sz val="12"/>
        <color rgb="FF000000"/>
        <rFont val="Calibri"/>
        <family val="2"/>
      </rPr>
      <t xml:space="preserve"> chemical oxygen demand (COD) can be derived from biological oxygen demand (BOD) under methods 2 or 3 (COD = 2.6 x BOD5).</t>
    </r>
  </si>
  <si>
    <r>
      <t>COD in wastewater (tonnes) (COD</t>
    </r>
    <r>
      <rPr>
        <i/>
        <vertAlign val="subscript"/>
        <sz val="12"/>
        <color indexed="8"/>
        <rFont val="Calibri"/>
        <family val="2"/>
      </rPr>
      <t>w,i</t>
    </r>
    <r>
      <rPr>
        <sz val="12"/>
        <color indexed="8"/>
        <rFont val="Calibri"/>
        <family val="2"/>
      </rPr>
      <t>)</t>
    </r>
  </si>
  <si>
    <r>
      <t>COD concentration (kg/m</t>
    </r>
    <r>
      <rPr>
        <vertAlign val="superscript"/>
        <sz val="12"/>
        <color indexed="8"/>
        <rFont val="Calibri"/>
        <family val="2"/>
      </rPr>
      <t>3</t>
    </r>
    <r>
      <rPr>
        <sz val="12"/>
        <color indexed="8"/>
        <rFont val="Calibri"/>
        <family val="2"/>
      </rPr>
      <t>) (CODcon,</t>
    </r>
    <r>
      <rPr>
        <i/>
        <vertAlign val="subscript"/>
        <sz val="12"/>
        <color indexed="8"/>
        <rFont val="Calibri"/>
        <family val="2"/>
      </rPr>
      <t>i</t>
    </r>
    <r>
      <rPr>
        <sz val="12"/>
        <color indexed="8"/>
        <rFont val="Calibri"/>
        <family val="2"/>
      </rPr>
      <t>)</t>
    </r>
  </si>
  <si>
    <r>
      <t>Wastewater generation rate 
(m</t>
    </r>
    <r>
      <rPr>
        <vertAlign val="superscript"/>
        <sz val="12"/>
        <color indexed="8"/>
        <rFont val="Calibri"/>
        <family val="2"/>
      </rPr>
      <t>3</t>
    </r>
    <r>
      <rPr>
        <sz val="12"/>
        <color indexed="8"/>
        <rFont val="Calibri"/>
        <family val="2"/>
      </rPr>
      <t xml:space="preserve"> or kL/tonne) (Wgen,</t>
    </r>
    <r>
      <rPr>
        <i/>
        <vertAlign val="subscript"/>
        <sz val="12"/>
        <color indexed="8"/>
        <rFont val="Calibri"/>
        <family val="2"/>
      </rPr>
      <t>i</t>
    </r>
    <r>
      <rPr>
        <sz val="12"/>
        <color indexed="8"/>
        <rFont val="Calibri"/>
        <family val="2"/>
      </rPr>
      <t>)</t>
    </r>
  </si>
  <si>
    <r>
      <t>COD in wastewater (tonnes) entering the plant related to the production by the plant of any commodity mentioned above (COD</t>
    </r>
    <r>
      <rPr>
        <i/>
        <vertAlign val="subscript"/>
        <sz val="12"/>
        <rFont val="Calibri"/>
        <family val="2"/>
        <scheme val="minor"/>
      </rPr>
      <t>w,i</t>
    </r>
    <r>
      <rPr>
        <sz val="12"/>
        <rFont val="Calibri"/>
        <family val="2"/>
        <scheme val="minor"/>
      </rPr>
      <t>)</t>
    </r>
  </si>
  <si>
    <r>
      <t>Fraction of COD removed from wastewater as sludge by the plant (F</t>
    </r>
    <r>
      <rPr>
        <i/>
        <vertAlign val="subscript"/>
        <sz val="12"/>
        <rFont val="Calibri"/>
        <family val="2"/>
      </rPr>
      <t>sl</t>
    </r>
    <r>
      <rPr>
        <sz val="12"/>
        <rFont val="Calibri"/>
        <family val="2"/>
      </rPr>
      <t>)</t>
    </r>
  </si>
  <si>
    <t>Quantity of COD effluent leaving the plant (tonnes) (CODeff)</t>
  </si>
  <si>
    <r>
      <t>Quantity of COD effluent leaving the plant (tonnes) (COD</t>
    </r>
    <r>
      <rPr>
        <i/>
        <vertAlign val="subscript"/>
        <sz val="12"/>
        <rFont val="Calibri"/>
        <family val="2"/>
        <scheme val="minor"/>
      </rPr>
      <t>eff</t>
    </r>
    <r>
      <rPr>
        <sz val="12"/>
        <rFont val="Calibri"/>
        <family val="2"/>
        <scheme val="minor"/>
      </rPr>
      <t>)</t>
    </r>
  </si>
  <si>
    <r>
      <t>Quantity of COD removed as sludge from wastewater during the year) (tonnes) (COD</t>
    </r>
    <r>
      <rPr>
        <i/>
        <vertAlign val="subscript"/>
        <sz val="12"/>
        <rFont val="Calibri"/>
        <family val="2"/>
      </rPr>
      <t>sl</t>
    </r>
    <r>
      <rPr>
        <sz val="12"/>
        <rFont val="Calibri"/>
        <family val="2"/>
      </rPr>
      <t>)</t>
    </r>
  </si>
  <si>
    <r>
      <t>Quantity of COD in sludge transferred out of the plant and removed to landfill (tonnes) (COD</t>
    </r>
    <r>
      <rPr>
        <i/>
        <vertAlign val="subscript"/>
        <sz val="12"/>
        <rFont val="Calibri"/>
        <family val="2"/>
      </rPr>
      <t>trl</t>
    </r>
    <r>
      <rPr>
        <sz val="12"/>
        <rFont val="Calibri"/>
        <family val="2"/>
      </rPr>
      <t>)</t>
    </r>
  </si>
  <si>
    <r>
      <t>Quantity of COD in sludge transferred out of the plant to a site other than landfill (tonnes) (COD</t>
    </r>
    <r>
      <rPr>
        <i/>
        <vertAlign val="subscript"/>
        <sz val="12"/>
        <rFont val="Calibri"/>
        <family val="2"/>
      </rPr>
      <t>tro</t>
    </r>
    <r>
      <rPr>
        <sz val="12"/>
        <rFont val="Calibri"/>
        <family val="2"/>
      </rPr>
      <t>)</t>
    </r>
  </si>
  <si>
    <r>
      <t>Quantity of methane in sludge biogas captured for combustion for the plant (m</t>
    </r>
    <r>
      <rPr>
        <vertAlign val="superscript"/>
        <sz val="12"/>
        <rFont val="Calibri"/>
        <family val="2"/>
      </rPr>
      <t>3</t>
    </r>
    <r>
      <rPr>
        <sz val="12"/>
        <rFont val="Calibri"/>
        <family val="2"/>
      </rPr>
      <t>) (Q</t>
    </r>
    <r>
      <rPr>
        <i/>
        <vertAlign val="subscript"/>
        <sz val="12"/>
        <rFont val="Calibri"/>
        <family val="2"/>
      </rPr>
      <t>cap</t>
    </r>
    <r>
      <rPr>
        <sz val="12"/>
        <rFont val="Calibri"/>
        <family val="2"/>
      </rPr>
      <t>)</t>
    </r>
  </si>
  <si>
    <r>
      <t>Quantity of methane in sludge biogas flared by the plant (m</t>
    </r>
    <r>
      <rPr>
        <vertAlign val="superscript"/>
        <sz val="12"/>
        <rFont val="Calibri"/>
        <family val="2"/>
      </rPr>
      <t>3</t>
    </r>
    <r>
      <rPr>
        <sz val="12"/>
        <rFont val="Calibri"/>
        <family val="2"/>
      </rPr>
      <t>) (Q</t>
    </r>
    <r>
      <rPr>
        <i/>
        <vertAlign val="subscript"/>
        <sz val="12"/>
        <rFont val="Calibri"/>
        <family val="2"/>
      </rPr>
      <t>flared</t>
    </r>
    <r>
      <rPr>
        <sz val="12"/>
        <rFont val="Calibri"/>
        <family val="2"/>
      </rPr>
      <t>)</t>
    </r>
  </si>
  <si>
    <r>
      <t>Quantity of methane in sludge biogas transferred out of the plant (m</t>
    </r>
    <r>
      <rPr>
        <vertAlign val="superscript"/>
        <sz val="12"/>
        <rFont val="Calibri"/>
        <family val="2"/>
      </rPr>
      <t>3</t>
    </r>
    <r>
      <rPr>
        <sz val="12"/>
        <rFont val="Calibri"/>
        <family val="2"/>
      </rPr>
      <t>) (Q</t>
    </r>
    <r>
      <rPr>
        <i/>
        <vertAlign val="subscript"/>
        <sz val="12"/>
        <rFont val="Calibri"/>
        <family val="2"/>
      </rPr>
      <t>tr</t>
    </r>
    <r>
      <rPr>
        <sz val="12"/>
        <rFont val="Calibri"/>
        <family val="2"/>
      </rPr>
      <t xml:space="preserve"> )</t>
    </r>
  </si>
  <si>
    <t>Value has been calculated for you</t>
  </si>
  <si>
    <r>
      <t>Methane</t>
    </r>
    <r>
      <rPr>
        <sz val="12"/>
        <color indexed="8"/>
        <rFont val="Calibri"/>
        <family val="2"/>
      </rPr>
      <t xml:space="preserve"> captured, flared, or transferred in tonnes CO</t>
    </r>
    <r>
      <rPr>
        <vertAlign val="subscript"/>
        <sz val="12"/>
        <color indexed="8"/>
        <rFont val="Calibri"/>
        <family val="2"/>
      </rPr>
      <t>2</t>
    </r>
    <r>
      <rPr>
        <sz val="12"/>
        <color indexed="8"/>
        <rFont val="Calibri"/>
        <family val="2"/>
      </rPr>
      <t>-e</t>
    </r>
  </si>
  <si>
    <r>
      <t>Methane released by the plant measured in tonnes CO</t>
    </r>
    <r>
      <rPr>
        <vertAlign val="subscript"/>
        <sz val="12"/>
        <rFont val="Calibri"/>
        <family val="2"/>
      </rPr>
      <t>2</t>
    </r>
    <r>
      <rPr>
        <sz val="12"/>
        <rFont val="Calibri"/>
        <family val="2"/>
      </rPr>
      <t>-e</t>
    </r>
  </si>
  <si>
    <t>Tonnes CO2-e</t>
  </si>
  <si>
    <t xml:space="preserve">Method 1 guide: default parameters by commodity - NGER Determination as amended Section 5.42. </t>
  </si>
  <si>
    <t>CALCULATOR OUTPUT AND EERS DATA ENTRY - METHOD 1</t>
  </si>
  <si>
    <t>In EERS, enter the source category, source and activity as displayed below.</t>
  </si>
  <si>
    <t>A list of Matters to be Identified (MTBI) will be displayed. Enter the following values in the appropriate fields.</t>
  </si>
  <si>
    <t>EERS
 Entry</t>
  </si>
  <si>
    <t>Select Method 1 in the Method drop down menu</t>
  </si>
  <si>
    <t>CALCULATOR OUTPUT AND EERS DATA ENTRY - METHOD 2/3</t>
  </si>
  <si>
    <t>Select Method 2 or 3 in the Method drop down menu</t>
  </si>
  <si>
    <t>EERS
Entry</t>
  </si>
  <si>
    <r>
      <t>Methane correction factor for wastewater treated at the plant (MCF</t>
    </r>
    <r>
      <rPr>
        <vertAlign val="subscript"/>
        <sz val="12"/>
        <rFont val="Calibri"/>
        <family val="2"/>
      </rPr>
      <t>ww</t>
    </r>
    <r>
      <rPr>
        <sz val="12"/>
        <rFont val="Calibri"/>
        <family val="2"/>
      </rPr>
      <t>)</t>
    </r>
  </si>
  <si>
    <r>
      <t>Methane correction factor for sludge treated at the plant (MCF</t>
    </r>
    <r>
      <rPr>
        <vertAlign val="subscript"/>
        <sz val="12"/>
        <rFont val="Calibri"/>
        <family val="2"/>
      </rPr>
      <t>sl</t>
    </r>
    <r>
      <rPr>
        <sz val="12"/>
        <rFont val="Calibri"/>
        <family val="2"/>
      </rPr>
      <t>)</t>
    </r>
  </si>
  <si>
    <r>
      <t>Methane emission factor for industrial wastewater (Ef</t>
    </r>
    <r>
      <rPr>
        <vertAlign val="subscript"/>
        <sz val="12"/>
        <rFont val="Calibri"/>
        <family val="2"/>
      </rPr>
      <t>wij</t>
    </r>
    <r>
      <rPr>
        <sz val="12"/>
        <rFont val="Calibri"/>
        <family val="2"/>
      </rPr>
      <t>)</t>
    </r>
  </si>
  <si>
    <r>
      <t>Methane emission factor for the treatment of sludge (Ef</t>
    </r>
    <r>
      <rPr>
        <vertAlign val="subscript"/>
        <sz val="12"/>
        <rFont val="Calibri"/>
        <family val="2"/>
      </rPr>
      <t>slij</t>
    </r>
    <r>
      <rPr>
        <sz val="12"/>
        <rFont val="Calibri"/>
        <family val="2"/>
      </rPr>
      <t>)</t>
    </r>
  </si>
  <si>
    <r>
      <t>Converting m</t>
    </r>
    <r>
      <rPr>
        <vertAlign val="superscript"/>
        <sz val="12"/>
        <rFont val="Calibri"/>
        <family val="2"/>
        <scheme val="minor"/>
      </rPr>
      <t>3</t>
    </r>
    <r>
      <rPr>
        <sz val="12"/>
        <rFont val="Calibri"/>
        <family val="2"/>
        <scheme val="minor"/>
      </rPr>
      <t xml:space="preserve"> CH</t>
    </r>
    <r>
      <rPr>
        <vertAlign val="subscript"/>
        <sz val="12"/>
        <rFont val="Calibri"/>
        <family val="2"/>
        <scheme val="minor"/>
      </rPr>
      <t>4</t>
    </r>
    <r>
      <rPr>
        <sz val="12"/>
        <rFont val="Calibri"/>
        <family val="2"/>
        <scheme val="minor"/>
      </rPr>
      <t xml:space="preserve"> to t CO</t>
    </r>
    <r>
      <rPr>
        <vertAlign val="subscript"/>
        <sz val="12"/>
        <rFont val="Calibri"/>
        <family val="2"/>
        <scheme val="minor"/>
      </rPr>
      <t>2</t>
    </r>
    <r>
      <rPr>
        <sz val="12"/>
        <rFont val="Calibri"/>
        <family val="2"/>
        <scheme val="minor"/>
      </rPr>
      <t xml:space="preserve">-e </t>
    </r>
  </si>
  <si>
    <r>
      <t>Commodity amount (tonnes) (</t>
    </r>
    <r>
      <rPr>
        <i/>
        <sz val="12"/>
        <color indexed="8"/>
        <rFont val="Calibri"/>
        <family val="2"/>
      </rPr>
      <t>Prod</t>
    </r>
    <r>
      <rPr>
        <i/>
        <vertAlign val="subscript"/>
        <sz val="12"/>
        <color indexed="8"/>
        <rFont val="Calibri"/>
        <family val="2"/>
      </rPr>
      <t>i</t>
    </r>
    <r>
      <rPr>
        <sz val="12"/>
        <color indexed="8"/>
        <rFont val="Calibri"/>
        <family val="2"/>
      </rPr>
      <t>)</t>
    </r>
  </si>
  <si>
    <r>
      <t>the tonnes of commodity produced - Dairy product (Prod</t>
    </r>
    <r>
      <rPr>
        <vertAlign val="subscript"/>
        <sz val="9"/>
        <rFont val="Calibri"/>
        <family val="2"/>
        <scheme val="minor"/>
      </rPr>
      <t>i</t>
    </r>
    <r>
      <rPr>
        <sz val="12"/>
        <rFont val="Calibri"/>
        <family val="2"/>
        <scheme val="minor"/>
      </rPr>
      <t>)</t>
    </r>
  </si>
  <si>
    <r>
      <t>the tonnes of commodity produced - Pulp, paper and paperboard (Prod</t>
    </r>
    <r>
      <rPr>
        <vertAlign val="subscript"/>
        <sz val="12"/>
        <rFont val="Calibri"/>
        <family val="2"/>
        <scheme val="minor"/>
      </rPr>
      <t>i</t>
    </r>
    <r>
      <rPr>
        <sz val="12"/>
        <rFont val="Calibri"/>
        <family val="2"/>
        <scheme val="minor"/>
      </rPr>
      <t>)</t>
    </r>
  </si>
  <si>
    <r>
      <t>the tonnes of commodity produced - Meat and poultry (Prod</t>
    </r>
    <r>
      <rPr>
        <vertAlign val="subscript"/>
        <sz val="12"/>
        <rFont val="Calibri"/>
        <family val="2"/>
        <scheme val="minor"/>
      </rPr>
      <t>i</t>
    </r>
    <r>
      <rPr>
        <sz val="12"/>
        <rFont val="Calibri"/>
        <family val="2"/>
        <scheme val="minor"/>
      </rPr>
      <t>)</t>
    </r>
  </si>
  <si>
    <r>
      <t>the tonnes of commodity produced - Organic chemicals (Prod</t>
    </r>
    <r>
      <rPr>
        <vertAlign val="subscript"/>
        <sz val="12"/>
        <rFont val="Calibri"/>
        <family val="2"/>
        <scheme val="minor"/>
      </rPr>
      <t>i</t>
    </r>
    <r>
      <rPr>
        <sz val="12"/>
        <rFont val="Calibri"/>
        <family val="2"/>
        <scheme val="minor"/>
      </rPr>
      <t>)</t>
    </r>
  </si>
  <si>
    <r>
      <t>the tonnes of commodity produced - Raw sugar (Prod</t>
    </r>
    <r>
      <rPr>
        <vertAlign val="subscript"/>
        <sz val="12"/>
        <rFont val="Calibri"/>
        <family val="2"/>
        <scheme val="minor"/>
      </rPr>
      <t>i</t>
    </r>
    <r>
      <rPr>
        <sz val="12"/>
        <rFont val="Calibri"/>
        <family val="2"/>
        <scheme val="minor"/>
      </rPr>
      <t>)</t>
    </r>
  </si>
  <si>
    <r>
      <t>the tonnes of commodity produced - Beer (Prod</t>
    </r>
    <r>
      <rPr>
        <vertAlign val="subscript"/>
        <sz val="12"/>
        <rFont val="Calibri"/>
        <family val="2"/>
        <scheme val="minor"/>
      </rPr>
      <t>i</t>
    </r>
    <r>
      <rPr>
        <sz val="12"/>
        <rFont val="Calibri"/>
        <family val="2"/>
        <scheme val="minor"/>
      </rPr>
      <t>)</t>
    </r>
  </si>
  <si>
    <r>
      <t>the tonnes of commodity produced - Wine and other alcoholic beverage (Prod</t>
    </r>
    <r>
      <rPr>
        <vertAlign val="subscript"/>
        <sz val="12"/>
        <rFont val="Calibri"/>
        <family val="2"/>
        <scheme val="minor"/>
      </rPr>
      <t>i</t>
    </r>
    <r>
      <rPr>
        <sz val="12"/>
        <rFont val="Calibri"/>
        <family val="2"/>
        <scheme val="minor"/>
      </rPr>
      <t>)</t>
    </r>
  </si>
  <si>
    <r>
      <t>the tonnes of commodity produced - Fruit and vegetable (Prod</t>
    </r>
    <r>
      <rPr>
        <vertAlign val="subscript"/>
        <sz val="12"/>
        <rFont val="Calibri"/>
        <family val="2"/>
        <scheme val="minor"/>
      </rPr>
      <t>i</t>
    </r>
    <r>
      <rPr>
        <sz val="12"/>
        <rFont val="Calibri"/>
        <family val="2"/>
        <scheme val="minor"/>
      </rPr>
      <t>)</t>
    </r>
  </si>
  <si>
    <r>
      <t>the tonnes of COD measured entering the treatment site (COD</t>
    </r>
    <r>
      <rPr>
        <vertAlign val="subscript"/>
        <sz val="12"/>
        <rFont val="Calibri"/>
        <family val="2"/>
        <scheme val="minor"/>
      </rPr>
      <t>w,i</t>
    </r>
    <r>
      <rPr>
        <sz val="12"/>
        <rFont val="Calibri"/>
        <family val="2"/>
        <scheme val="minor"/>
      </rPr>
      <t>)</t>
    </r>
  </si>
  <si>
    <r>
      <t>the fraction of wastewater anaerobically treated (MCF</t>
    </r>
    <r>
      <rPr>
        <vertAlign val="subscript"/>
        <sz val="12"/>
        <rFont val="Calibri"/>
        <family val="2"/>
        <scheme val="minor"/>
      </rPr>
      <t>ww</t>
    </r>
    <r>
      <rPr>
        <sz val="12"/>
        <rFont val="Calibri"/>
        <family val="2"/>
        <scheme val="minor"/>
      </rPr>
      <t>)</t>
    </r>
  </si>
  <si>
    <r>
      <t>the tonnes of COD removed as sludge (COD</t>
    </r>
    <r>
      <rPr>
        <vertAlign val="subscript"/>
        <sz val="12"/>
        <rFont val="Calibri"/>
        <family val="2"/>
        <scheme val="minor"/>
      </rPr>
      <t>sl</t>
    </r>
    <r>
      <rPr>
        <sz val="12"/>
        <rFont val="Calibri"/>
        <family val="2"/>
        <scheme val="minor"/>
      </rPr>
      <t>)</t>
    </r>
  </si>
  <si>
    <r>
      <t>the fraction of COD in sludge anaerobically treated on site (MCF</t>
    </r>
    <r>
      <rPr>
        <vertAlign val="subscript"/>
        <sz val="12"/>
        <rFont val="Calibri"/>
        <family val="2"/>
        <scheme val="minor"/>
      </rPr>
      <t>sl</t>
    </r>
    <r>
      <rPr>
        <sz val="12"/>
        <rFont val="Calibri"/>
        <family val="2"/>
        <scheme val="minor"/>
      </rPr>
      <t>)</t>
    </r>
  </si>
  <si>
    <r>
      <t>the tonnes of COD in sludge transferred off site and disposed of at a landfill facility (COD</t>
    </r>
    <r>
      <rPr>
        <vertAlign val="subscript"/>
        <sz val="12"/>
        <rFont val="Calibri"/>
        <family val="2"/>
        <scheme val="minor"/>
      </rPr>
      <t>trl</t>
    </r>
    <r>
      <rPr>
        <sz val="12"/>
        <rFont val="Calibri"/>
        <family val="2"/>
        <scheme val="minor"/>
      </rPr>
      <t>)</t>
    </r>
  </si>
  <si>
    <r>
      <t>the tonnes of COD in sludge transferred off site and disposed of at a site other than a landfill facility (COD</t>
    </r>
    <r>
      <rPr>
        <vertAlign val="subscript"/>
        <sz val="12"/>
        <rFont val="Calibri"/>
        <family val="2"/>
        <scheme val="minor"/>
      </rPr>
      <t>tro</t>
    </r>
    <r>
      <rPr>
        <sz val="12"/>
        <rFont val="Calibri"/>
        <family val="2"/>
        <scheme val="minor"/>
      </rPr>
      <t>)</t>
    </r>
  </si>
  <si>
    <r>
      <t>the tonnes of COD in effluent leaving the site (COD</t>
    </r>
    <r>
      <rPr>
        <vertAlign val="subscript"/>
        <sz val="12"/>
        <rFont val="Calibri"/>
        <family val="2"/>
        <scheme val="minor"/>
      </rPr>
      <t>eff</t>
    </r>
    <r>
      <rPr>
        <sz val="12"/>
        <rFont val="Calibri"/>
        <family val="2"/>
        <scheme val="minor"/>
      </rPr>
      <t>)</t>
    </r>
  </si>
  <si>
    <r>
      <t>the fraction of COD removed as sludge (F</t>
    </r>
    <r>
      <rPr>
        <vertAlign val="subscript"/>
        <sz val="12"/>
        <rFont val="Calibri"/>
        <family val="2"/>
        <scheme val="minor"/>
      </rPr>
      <t>sl</t>
    </r>
    <r>
      <rPr>
        <sz val="12"/>
        <rFont val="Calibri"/>
        <family val="2"/>
        <scheme val="minor"/>
      </rPr>
      <t>)</t>
    </r>
  </si>
  <si>
    <r>
      <t>Emissions released during the year (t CO</t>
    </r>
    <r>
      <rPr>
        <vertAlign val="subscript"/>
        <sz val="12"/>
        <rFont val="Calibri"/>
        <family val="2"/>
      </rPr>
      <t>2</t>
    </r>
    <r>
      <rPr>
        <sz val="12"/>
        <rFont val="Calibri"/>
        <family val="2"/>
      </rPr>
      <t>-e) (E</t>
    </r>
    <r>
      <rPr>
        <vertAlign val="subscript"/>
        <sz val="12"/>
        <rFont val="Calibri"/>
        <family val="2"/>
      </rPr>
      <t>j</t>
    </r>
    <r>
      <rPr>
        <sz val="12"/>
        <rFont val="Calibri"/>
        <family val="2"/>
      </rPr>
      <t>)</t>
    </r>
  </si>
  <si>
    <r>
      <rPr>
        <sz val="12"/>
        <rFont val="Calibri"/>
        <family val="2"/>
        <scheme val="minor"/>
      </rPr>
      <t>Methane generated by the plant in tonnes CO</t>
    </r>
    <r>
      <rPr>
        <vertAlign val="subscript"/>
        <sz val="12"/>
        <rFont val="Calibri"/>
        <family val="2"/>
        <scheme val="minor"/>
      </rPr>
      <t>2</t>
    </r>
    <r>
      <rPr>
        <sz val="12"/>
        <rFont val="Calibri"/>
        <family val="2"/>
        <scheme val="minor"/>
      </rPr>
      <t>-e</t>
    </r>
  </si>
  <si>
    <r>
      <t>Emissions released during the year (t CO</t>
    </r>
    <r>
      <rPr>
        <vertAlign val="subscript"/>
        <sz val="12"/>
        <rFont val="Calibri"/>
        <family val="2"/>
        <scheme val="minor"/>
      </rPr>
      <t>2</t>
    </r>
    <r>
      <rPr>
        <sz val="12"/>
        <rFont val="Calibri"/>
        <family val="2"/>
        <scheme val="minor"/>
      </rPr>
      <t>-e) (E</t>
    </r>
    <r>
      <rPr>
        <vertAlign val="subscript"/>
        <sz val="12"/>
        <rFont val="Calibri"/>
        <family val="2"/>
        <scheme val="minor"/>
      </rPr>
      <t>j</t>
    </r>
    <r>
      <rPr>
        <sz val="12"/>
        <rFont val="Calibri"/>
        <family val="2"/>
        <scheme val="minor"/>
      </rPr>
      <t>)</t>
    </r>
  </si>
  <si>
    <t xml:space="preserve">The following steps will guide you through the process of entering calculator data into EERS.  </t>
  </si>
  <si>
    <t xml:space="preserve">The following steps will guide you through the process of entering calculator data into EERS.   </t>
  </si>
  <si>
    <t>Units of measurement (Prodi)</t>
  </si>
  <si>
    <t>WASTEWATER CALCULATOR (INDUSTRIAL)</t>
  </si>
  <si>
    <t xml:space="preserve">WASTEWATER CALCULATOR (INDUSTRIAL)
</t>
  </si>
  <si>
    <t>This calculator is designed to calculate emissions from industrial wastewater for plants at a single facility. Multiple facilities will require data to be entered in separate calculators. 
Data is entered in the Facility input worksheet. You can select to enter  data using methods 1, 2 or 3 by clicking on the method in the drop-down menu.  Once data entry is complete, you will be able to view the emissions data and instruction for entry into the Emissions and Energy Reporting System (EERS) for the method you have selected.</t>
  </si>
  <si>
    <r>
      <t xml:space="preserve">IMPORTANT NOTICE:
</t>
    </r>
    <r>
      <rPr>
        <sz val="11"/>
        <rFont val="Calibri"/>
        <family val="2"/>
        <scheme val="minor"/>
      </rPr>
      <t>The National Greenhouse and Energy Reporting Wastewater Calculator (Industrial) Calculator (the Calculator) has been developed by the Clean Energy Regulator (the agency) to assist entities to comply with their reporting obligations under the National Greenhouse and Energy Reporting Act 2007 (NGER Act) and associated legislation. The Calculator should be used in conjunction with the NGER Act, National Greenhouse and Energy Reporting Regulations 2008 and National Greenhouse and Energy Reporting (Measurement) Determination 2008 in their current form. These laws and their interpretation are subject to change, which may affect the accuracy of the outputs of in the Calculator.
This Calculator (version 1.2) is valid for the 2020-2021 reporting year and is valid for subsequent reporting years until a newer calculator has been made available.  Reporters must check the agency website www.cleanenergyregulator.gov.au/NGER/Forms-and-resources/Calculators to ensure that they are using the most current version of the Calculator.
The information to be input in the Calculator is not exhaustive of all matters required to be reported, nor does the Calculator cover all circumstances applicable to all entities. The Calculator is not intended to comprehensively deal with its subject area; nor is it a substitute for independent legal advice. The calculations that are generated by the Calculator are an estimate only, intended to be used for guidance purposes and to assist entities in their reporting. The agency and the Commonwealth of Australia do not warrant that any estimates or outputs generated by the Calculator will be accurate, complete, or up to date. Entities are not required to use the estimates generated by the Calculator, however, entities must ensure they meet their obligations under the National Greenhouse and Energy Reporting scheme at all times. The agency encourages all users of the Calculator to seek independent legal advice before taking any action or decision, including finalising any report, on the basis of the Calculator.
Entities are responsible for determining their obligations under the law and for applying the law to their individual circumstances. The agency and the Commonwealth of Australia bear no responsibility for the data input to the Calculator by users, or for the outputs of the Calculator, and will in no event be liable for any direct, incidental, or consequential loss or damage of any kind, arising out of or in connection with, any use of the Calculator, reliance on the Calculator’s output, or reliance on any other information or advice on this website. 
The agency and the Commonwealth of Australia do not guarantee uninterrupted access to the Calculator or that the associated website and files obtained from or through this website are free from harmful code including viruses or spyware, and recommend the use of appropriate software to protect your systems.</t>
    </r>
    <r>
      <rPr>
        <i/>
        <sz val="11"/>
        <rFont val="Calibri"/>
        <family val="2"/>
        <scheme val="minor"/>
      </rPr>
      <t xml:space="preserve">
</t>
    </r>
  </si>
  <si>
    <t>ABOUT THIS CALCULATOR
TITLE - Wastewater Calculator (Industrial)
VERSION - 1.2 - July 2021
AUTHOR - The Clean Energy Regulator</t>
  </si>
  <si>
    <t>Wastewater Calculator (Industrial) © Commonwealth of Australia 2021. This work is copyright. Apart from any use as permitted under the Copyright Act 1968, no part may be reproduced by any process without written permission from the Commonwealth. Requests and inquiries concerning reproduction and rights should be addressed to the Commonwealth Copyright Administration, Attorney-General's Department, 3-5 National Circuit BARTON ACT 2600. Email: commonwealth.copyright@ag.gov.au or posted at www.ag.gov.au.</t>
  </si>
  <si>
    <t>This work is licensed under the Creative Commons Attribution 3.0 Australia Licence. To view a copy of this license, visit http://creativecommons.org/licenses/by/3.0/au 
If you use materials that are licensed under Creative Commons, you are also required to retain any symbols and notices that are included in the materials. Where there are no symbols or notices present on materials you must attribute the work. The Clean Energy Regulator asserts the right to be recognised as author of the original material in the following manner:
© Commonwealth of Australia (2021) Clean Energy Regulator.</t>
  </si>
  <si>
    <t>2011-12 to 2020-2021</t>
  </si>
  <si>
    <r>
      <t>=Q</t>
    </r>
    <r>
      <rPr>
        <b/>
        <vertAlign val="subscript"/>
        <sz val="11"/>
        <color indexed="8"/>
        <rFont val="Calibri"/>
        <family val="2"/>
      </rPr>
      <t>cap</t>
    </r>
    <r>
      <rPr>
        <b/>
        <sz val="11"/>
        <color indexed="8"/>
        <rFont val="Calibri"/>
        <family val="2"/>
      </rPr>
      <t>*0.0006784*28</t>
    </r>
  </si>
  <si>
    <r>
      <t>=Q</t>
    </r>
    <r>
      <rPr>
        <b/>
        <vertAlign val="subscript"/>
        <sz val="11"/>
        <color indexed="8"/>
        <rFont val="Calibri"/>
        <family val="2"/>
      </rPr>
      <t>tr</t>
    </r>
    <r>
      <rPr>
        <b/>
        <sz val="11"/>
        <color indexed="8"/>
        <rFont val="Calibri"/>
        <family val="2"/>
      </rPr>
      <t>*0.0006784*28</t>
    </r>
  </si>
  <si>
    <r>
      <t>=Q</t>
    </r>
    <r>
      <rPr>
        <b/>
        <vertAlign val="subscript"/>
        <sz val="11"/>
        <color indexed="8"/>
        <rFont val="Calibri"/>
        <family val="2"/>
      </rPr>
      <t>flared</t>
    </r>
    <r>
      <rPr>
        <b/>
        <sz val="11"/>
        <color indexed="8"/>
        <rFont val="Calibri"/>
        <family val="2"/>
      </rPr>
      <t>*0.0006784*28</t>
    </r>
  </si>
  <si>
    <r>
      <t>the tonnes of methane (CO</t>
    </r>
    <r>
      <rPr>
        <vertAlign val="subscript"/>
        <sz val="12"/>
        <rFont val="Calibri"/>
        <family val="2"/>
      </rPr>
      <t>2</t>
    </r>
    <r>
      <rPr>
        <sz val="12"/>
        <rFont val="Calibri"/>
        <family val="2"/>
      </rPr>
      <t>-e) captured for production of electricity on site (Q</t>
    </r>
    <r>
      <rPr>
        <vertAlign val="subscript"/>
        <sz val="12"/>
        <rFont val="Calibri"/>
        <family val="2"/>
      </rPr>
      <t>cap</t>
    </r>
    <r>
      <rPr>
        <sz val="12"/>
        <rFont val="Calibri"/>
        <family val="2"/>
      </rPr>
      <t xml:space="preserve"> x 0.0006784 x 28)</t>
    </r>
  </si>
  <si>
    <r>
      <t>the tonnes of methane (CO</t>
    </r>
    <r>
      <rPr>
        <vertAlign val="subscript"/>
        <sz val="12"/>
        <rFont val="Calibri"/>
        <family val="2"/>
      </rPr>
      <t>2</t>
    </r>
    <r>
      <rPr>
        <sz val="12"/>
        <rFont val="Calibri"/>
        <family val="2"/>
      </rPr>
      <t>-e) captured and transferred off site (Q</t>
    </r>
    <r>
      <rPr>
        <vertAlign val="subscript"/>
        <sz val="12"/>
        <rFont val="Calibri"/>
        <family val="2"/>
      </rPr>
      <t>tr</t>
    </r>
    <r>
      <rPr>
        <sz val="12"/>
        <rFont val="Calibri"/>
        <family val="2"/>
      </rPr>
      <t xml:space="preserve"> x 0.0006784 x 28)</t>
    </r>
  </si>
  <si>
    <r>
      <t>the tonnes of methane (CO</t>
    </r>
    <r>
      <rPr>
        <vertAlign val="subscript"/>
        <sz val="12"/>
        <rFont val="Calibri"/>
        <family val="2"/>
      </rPr>
      <t>2</t>
    </r>
    <r>
      <rPr>
        <sz val="12"/>
        <rFont val="Calibri"/>
        <family val="2"/>
      </rPr>
      <t>-e) flared (Q</t>
    </r>
    <r>
      <rPr>
        <vertAlign val="subscript"/>
        <sz val="12"/>
        <rFont val="Calibri"/>
        <family val="2"/>
      </rPr>
      <t>flared</t>
    </r>
    <r>
      <rPr>
        <sz val="12"/>
        <rFont val="Calibri"/>
        <family val="2"/>
      </rPr>
      <t xml:space="preserve"> x 0.0006784 x 28)</t>
    </r>
  </si>
  <si>
    <r>
      <t>the tonnes of emissions (CO</t>
    </r>
    <r>
      <rPr>
        <vertAlign val="subscript"/>
        <sz val="12"/>
        <rFont val="Calibri"/>
        <family val="2"/>
      </rPr>
      <t>2</t>
    </r>
    <r>
      <rPr>
        <sz val="12"/>
        <rFont val="Calibri"/>
        <family val="2"/>
      </rPr>
      <t>-e) generated (CH</t>
    </r>
    <r>
      <rPr>
        <vertAlign val="subscript"/>
        <sz val="12"/>
        <rFont val="Calibri"/>
        <family val="2"/>
      </rPr>
      <t>4</t>
    </r>
    <r>
      <rPr>
        <sz val="12"/>
        <rFont val="Calibri"/>
        <family val="2"/>
      </rPr>
      <t xml:space="preserve"> x 0.0006784 x 28)</t>
    </r>
  </si>
  <si>
    <t>© Commonwealth of Australia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</si>
</sst>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0;"/>
    <numFmt numFmtId="166" formatCode="0.0000000"/>
  </numFmts>
  <fonts count="76" x14ac:knownFonts="1">
    <font>
      <sz val="10"/>
      <name val="Arial"/>
    </font>
    <font>
      <sz val="11"/>
      <color theme="1"/>
      <name val="Calibri"/>
      <family val="2"/>
      <scheme val="minor"/>
    </font>
    <font>
      <sz val="11"/>
      <color indexed="8"/>
      <name val="Calibri"/>
      <family val="2"/>
    </font>
    <font>
      <u/>
      <sz val="10"/>
      <color indexed="12"/>
      <name val="MS Sans Serif"/>
      <family val="2"/>
    </font>
    <font>
      <sz val="10"/>
      <name val="Arial"/>
      <family val="2"/>
    </font>
    <font>
      <vertAlign val="subscript"/>
      <sz val="12"/>
      <name val="Calibri"/>
      <family val="2"/>
    </font>
    <font>
      <sz val="12"/>
      <name val="Calibri"/>
      <family val="2"/>
    </font>
    <font>
      <vertAlign val="superscript"/>
      <sz val="12"/>
      <name val="Calibri"/>
      <family val="2"/>
    </font>
    <font>
      <sz val="12"/>
      <color indexed="8"/>
      <name val="Calibri"/>
      <family val="2"/>
    </font>
    <font>
      <vertAlign val="subscript"/>
      <sz val="12"/>
      <color indexed="8"/>
      <name val="Calibri"/>
      <family val="2"/>
    </font>
    <font>
      <sz val="10"/>
      <name val="Times New Roman"/>
      <family val="1"/>
    </font>
    <font>
      <sz val="11"/>
      <name val="Calibri"/>
      <family val="2"/>
    </font>
    <font>
      <b/>
      <sz val="10"/>
      <name val="Arial"/>
      <family val="2"/>
    </font>
    <font>
      <b/>
      <sz val="11"/>
      <color indexed="8"/>
      <name val="Calibri"/>
      <family val="2"/>
    </font>
    <font>
      <vertAlign val="subscript"/>
      <sz val="11"/>
      <color indexed="8"/>
      <name val="Calibri"/>
      <family val="2"/>
    </font>
    <font>
      <sz val="11"/>
      <name val="Arial"/>
      <family val="2"/>
    </font>
    <font>
      <b/>
      <sz val="10"/>
      <name val="Calibri"/>
      <family val="2"/>
    </font>
    <font>
      <b/>
      <vertAlign val="subscript"/>
      <sz val="11"/>
      <name val="Calibri"/>
      <family val="2"/>
    </font>
    <font>
      <b/>
      <vertAlign val="subscript"/>
      <sz val="11"/>
      <color indexed="8"/>
      <name val="Calibri"/>
      <family val="2"/>
    </font>
    <font>
      <b/>
      <sz val="14"/>
      <color indexed="8"/>
      <name val="Calibri"/>
      <family val="2"/>
    </font>
    <font>
      <b/>
      <i/>
      <sz val="14"/>
      <color indexed="8"/>
      <name val="Calibri"/>
      <family val="2"/>
    </font>
    <font>
      <b/>
      <i/>
      <vertAlign val="subscript"/>
      <sz val="14"/>
      <color indexed="8"/>
      <name val="Calibri"/>
      <family val="2"/>
    </font>
    <font>
      <b/>
      <i/>
      <sz val="11"/>
      <color indexed="8"/>
      <name val="Calibri"/>
      <family val="2"/>
    </font>
    <font>
      <b/>
      <i/>
      <vertAlign val="subscript"/>
      <sz val="11"/>
      <color indexed="8"/>
      <name val="Calibri"/>
      <family val="2"/>
    </font>
    <font>
      <sz val="11"/>
      <color theme="1"/>
      <name val="Calibri"/>
      <family val="2"/>
      <scheme val="minor"/>
    </font>
    <font>
      <sz val="11"/>
      <color rgb="FF006100"/>
      <name val="Calibri"/>
      <family val="2"/>
      <scheme val="minor"/>
    </font>
    <font>
      <u/>
      <sz val="11"/>
      <color theme="10"/>
      <name val="Calibri"/>
      <family val="2"/>
    </font>
    <font>
      <sz val="11"/>
      <color rgb="FFFF0000"/>
      <name val="Calibri"/>
      <family val="2"/>
      <scheme val="minor"/>
    </font>
    <font>
      <sz val="10"/>
      <name val="Calibri"/>
      <family val="2"/>
      <scheme val="minor"/>
    </font>
    <font>
      <b/>
      <sz val="10"/>
      <name val="Calibri"/>
      <family val="2"/>
      <scheme val="minor"/>
    </font>
    <font>
      <sz val="12"/>
      <name val="Calibri"/>
      <family val="2"/>
      <scheme val="minor"/>
    </font>
    <font>
      <b/>
      <sz val="12"/>
      <color rgb="FF000000"/>
      <name val="Calibri"/>
      <family val="2"/>
      <scheme val="minor"/>
    </font>
    <font>
      <sz val="10"/>
      <color rgb="FF000000"/>
      <name val="Calibri"/>
      <family val="2"/>
      <scheme val="minor"/>
    </font>
    <font>
      <sz val="12"/>
      <color rgb="FF000000"/>
      <name val="Calibri"/>
      <family val="2"/>
      <scheme val="minor"/>
    </font>
    <font>
      <sz val="10"/>
      <color rgb="FF000000"/>
      <name val="Arial"/>
      <family val="2"/>
    </font>
    <font>
      <sz val="12"/>
      <color rgb="FF000000"/>
      <name val="Calibri"/>
      <family val="2"/>
    </font>
    <font>
      <sz val="10"/>
      <color rgb="FF000000"/>
      <name val="Calibri"/>
      <family val="2"/>
    </font>
    <font>
      <b/>
      <u/>
      <sz val="12"/>
      <color rgb="FF000000"/>
      <name val="Calibri"/>
      <family val="2"/>
      <scheme val="minor"/>
    </font>
    <font>
      <sz val="11"/>
      <color rgb="FF000000"/>
      <name val="Calibri"/>
      <family val="2"/>
    </font>
    <font>
      <sz val="10"/>
      <color theme="1"/>
      <name val="Calibri"/>
      <family val="2"/>
      <scheme val="minor"/>
    </font>
    <font>
      <sz val="11"/>
      <color rgb="FF000000"/>
      <name val="Calibri"/>
      <family val="2"/>
      <scheme val="minor"/>
    </font>
    <font>
      <sz val="11"/>
      <name val="Calibri"/>
      <family val="2"/>
      <scheme val="minor"/>
    </font>
    <font>
      <b/>
      <sz val="10"/>
      <color rgb="FF000000"/>
      <name val="Arial"/>
      <family val="2"/>
    </font>
    <font>
      <b/>
      <sz val="10"/>
      <color theme="1"/>
      <name val="Arial"/>
      <family val="2"/>
    </font>
    <font>
      <b/>
      <sz val="12"/>
      <name val="Calibri"/>
      <family val="2"/>
      <scheme val="minor"/>
    </font>
    <font>
      <b/>
      <sz val="12"/>
      <color rgb="FFFF0000"/>
      <name val="Calibri"/>
      <family val="2"/>
      <scheme val="minor"/>
    </font>
    <font>
      <b/>
      <sz val="11"/>
      <color rgb="FF000000"/>
      <name val="Calibri"/>
      <family val="2"/>
      <scheme val="minor"/>
    </font>
    <font>
      <b/>
      <sz val="12"/>
      <color rgb="FF000000"/>
      <name val="Calibri"/>
      <family val="2"/>
    </font>
    <font>
      <b/>
      <sz val="10"/>
      <color rgb="FF000000"/>
      <name val="Calibri"/>
      <family val="2"/>
      <scheme val="minor"/>
    </font>
    <font>
      <b/>
      <sz val="11"/>
      <name val="Calibri"/>
      <family val="2"/>
      <scheme val="minor"/>
    </font>
    <font>
      <b/>
      <sz val="11"/>
      <color rgb="FF000000"/>
      <name val="Calibri"/>
      <family val="2"/>
    </font>
    <font>
      <b/>
      <sz val="14"/>
      <name val="Calibri"/>
      <family val="2"/>
      <scheme val="minor"/>
    </font>
    <font>
      <sz val="8"/>
      <color rgb="FF000000"/>
      <name val="Calibri"/>
      <family val="2"/>
      <scheme val="minor"/>
    </font>
    <font>
      <u/>
      <sz val="12"/>
      <color indexed="12"/>
      <name val="Calibri"/>
      <family val="2"/>
      <scheme val="minor"/>
    </font>
    <font>
      <b/>
      <sz val="14"/>
      <color rgb="FF000000"/>
      <name val="Calibri"/>
      <family val="2"/>
    </font>
    <font>
      <b/>
      <sz val="10"/>
      <color rgb="FF000000"/>
      <name val="Calibri"/>
      <family val="2"/>
    </font>
    <font>
      <sz val="12"/>
      <name val="Arial"/>
      <family val="2"/>
    </font>
    <font>
      <sz val="9"/>
      <name val="Arial"/>
      <family val="2"/>
    </font>
    <font>
      <b/>
      <sz val="14"/>
      <color theme="6"/>
      <name val="Calibri"/>
      <family val="2"/>
      <scheme val="minor"/>
    </font>
    <font>
      <b/>
      <sz val="11"/>
      <name val="Arial"/>
      <family val="2"/>
    </font>
    <font>
      <u/>
      <sz val="14"/>
      <color indexed="12"/>
      <name val="Calibri"/>
      <family val="2"/>
      <scheme val="minor"/>
    </font>
    <font>
      <i/>
      <sz val="10"/>
      <name val="Arial"/>
      <family val="2"/>
    </font>
    <font>
      <sz val="12"/>
      <color theme="1"/>
      <name val="Calibri"/>
      <family val="2"/>
      <scheme val="minor"/>
    </font>
    <font>
      <i/>
      <sz val="12"/>
      <color indexed="8"/>
      <name val="Calibri"/>
      <family val="2"/>
    </font>
    <font>
      <i/>
      <vertAlign val="subscript"/>
      <sz val="12"/>
      <color indexed="8"/>
      <name val="Calibri"/>
      <family val="2"/>
    </font>
    <font>
      <vertAlign val="superscript"/>
      <sz val="12"/>
      <color indexed="8"/>
      <name val="Calibri"/>
      <family val="2"/>
    </font>
    <font>
      <i/>
      <vertAlign val="subscript"/>
      <sz val="12"/>
      <name val="Calibri"/>
      <family val="2"/>
      <scheme val="minor"/>
    </font>
    <font>
      <i/>
      <vertAlign val="subscript"/>
      <sz val="12"/>
      <name val="Calibri"/>
      <family val="2"/>
    </font>
    <font>
      <sz val="14"/>
      <color rgb="FF000000"/>
      <name val="Calibri"/>
      <family val="2"/>
      <scheme val="minor"/>
    </font>
    <font>
      <b/>
      <sz val="14"/>
      <color rgb="FF000000"/>
      <name val="Calibri"/>
      <family val="2"/>
      <scheme val="minor"/>
    </font>
    <font>
      <vertAlign val="superscript"/>
      <sz val="12"/>
      <name val="Calibri"/>
      <family val="2"/>
      <scheme val="minor"/>
    </font>
    <font>
      <vertAlign val="subscript"/>
      <sz val="12"/>
      <name val="Calibri"/>
      <family val="2"/>
      <scheme val="minor"/>
    </font>
    <font>
      <sz val="11"/>
      <color rgb="FFFF0000"/>
      <name val="Calibri"/>
      <family val="2"/>
    </font>
    <font>
      <sz val="18"/>
      <color theme="1"/>
      <name val="Calibri"/>
      <family val="2"/>
      <scheme val="minor"/>
    </font>
    <font>
      <i/>
      <sz val="11"/>
      <name val="Calibri"/>
      <family val="2"/>
      <scheme val="minor"/>
    </font>
    <font>
      <vertAlign val="subscript"/>
      <sz val="9"/>
      <name val="Calibri"/>
      <family val="2"/>
      <scheme val="minor"/>
    </font>
  </fonts>
  <fills count="10">
    <fill>
      <patternFill patternType="none"/>
    </fill>
    <fill>
      <patternFill patternType="gray125"/>
    </fill>
    <fill>
      <patternFill patternType="solid">
        <fgColor rgb="FFC6EFCE"/>
      </patternFill>
    </fill>
    <fill>
      <patternFill patternType="solid">
        <fgColor rgb="FFFFFF00"/>
        <bgColor indexed="64"/>
      </patternFill>
    </fill>
    <fill>
      <patternFill patternType="solid">
        <fgColor theme="0"/>
        <bgColor indexed="64"/>
      </patternFill>
    </fill>
    <fill>
      <patternFill patternType="solid">
        <fgColor theme="6"/>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2"/>
        <bgColor indexed="64"/>
      </patternFill>
    </fill>
    <fill>
      <patternFill patternType="solid">
        <fgColor theme="3" tint="0.79998168889431442"/>
        <bgColor indexed="64"/>
      </patternFill>
    </fill>
  </fills>
  <borders count="45">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medium">
        <color indexed="64"/>
      </left>
      <right/>
      <top style="thin">
        <color indexed="64"/>
      </top>
      <bottom style="thin">
        <color indexed="64"/>
      </bottom>
      <diagonal/>
    </border>
    <border>
      <left/>
      <right/>
      <top style="medium">
        <color indexed="64"/>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right style="thin">
        <color theme="0" tint="-0.34998626667073579"/>
      </right>
      <top/>
      <bottom style="thin">
        <color theme="0" tint="-0.34998626667073579"/>
      </bottom>
      <diagonal/>
    </border>
  </borders>
  <cellStyleXfs count="7">
    <xf numFmtId="0" fontId="0" fillId="0" borderId="0"/>
    <xf numFmtId="0" fontId="25" fillId="2" borderId="0" applyNumberFormat="0" applyBorder="0" applyAlignment="0" applyProtection="0"/>
    <xf numFmtId="0" fontId="3" fillId="0" borderId="0" applyNumberFormat="0" applyFill="0" applyBorder="0" applyAlignment="0" applyProtection="0"/>
    <xf numFmtId="0" fontId="26" fillId="0" borderId="0" applyNumberFormat="0" applyFill="0" applyBorder="0" applyAlignment="0" applyProtection="0">
      <alignment vertical="top"/>
      <protection locked="0"/>
    </xf>
    <xf numFmtId="0" fontId="24" fillId="0" borderId="0"/>
    <xf numFmtId="0" fontId="4" fillId="0" borderId="0"/>
    <xf numFmtId="0" fontId="10" fillId="0" borderId="0"/>
  </cellStyleXfs>
  <cellXfs count="335">
    <xf numFmtId="0" fontId="0" fillId="0" borderId="0" xfId="0"/>
    <xf numFmtId="0" fontId="4" fillId="0" borderId="0" xfId="5" applyProtection="1">
      <protection hidden="1"/>
    </xf>
    <xf numFmtId="0" fontId="28" fillId="0" borderId="0" xfId="5" applyFont="1" applyProtection="1">
      <protection hidden="1"/>
    </xf>
    <xf numFmtId="0" fontId="30" fillId="0" borderId="0" xfId="5" applyFont="1" applyProtection="1">
      <protection hidden="1"/>
    </xf>
    <xf numFmtId="0" fontId="32" fillId="0" borderId="0" xfId="5" applyFont="1" applyProtection="1">
      <protection hidden="1"/>
    </xf>
    <xf numFmtId="0" fontId="28" fillId="0" borderId="0" xfId="5" applyFont="1" applyBorder="1" applyProtection="1">
      <protection hidden="1"/>
    </xf>
    <xf numFmtId="0" fontId="34" fillId="0" borderId="0" xfId="0" applyFont="1" applyProtection="1">
      <protection hidden="1"/>
    </xf>
    <xf numFmtId="0" fontId="11" fillId="0" borderId="0" xfId="0" applyFont="1" applyAlignment="1" applyProtection="1">
      <alignment wrapText="1"/>
      <protection hidden="1"/>
    </xf>
    <xf numFmtId="0" fontId="28" fillId="0" borderId="0" xfId="5" applyFont="1" applyBorder="1" applyAlignment="1" applyProtection="1">
      <protection hidden="1"/>
    </xf>
    <xf numFmtId="0" fontId="33" fillId="0" borderId="0" xfId="5" applyFont="1" applyBorder="1" applyAlignment="1" applyProtection="1">
      <protection hidden="1"/>
    </xf>
    <xf numFmtId="0" fontId="28" fillId="0" borderId="3" xfId="5" applyFont="1" applyBorder="1" applyAlignment="1" applyProtection="1">
      <protection hidden="1"/>
    </xf>
    <xf numFmtId="0" fontId="32" fillId="0" borderId="0" xfId="5" applyFont="1" applyBorder="1" applyAlignment="1" applyProtection="1">
      <protection hidden="1"/>
    </xf>
    <xf numFmtId="0" fontId="36" fillId="0" borderId="0" xfId="0" applyFont="1"/>
    <xf numFmtId="0" fontId="0" fillId="0" borderId="0" xfId="0" applyProtection="1">
      <protection hidden="1"/>
    </xf>
    <xf numFmtId="0" fontId="31" fillId="0" borderId="0" xfId="0" applyFont="1" applyProtection="1">
      <protection hidden="1"/>
    </xf>
    <xf numFmtId="0" fontId="6" fillId="0" borderId="0" xfId="0" applyFont="1" applyBorder="1" applyProtection="1">
      <protection hidden="1"/>
    </xf>
    <xf numFmtId="0" fontId="37" fillId="0" borderId="7" xfId="5" applyFont="1" applyBorder="1" applyAlignment="1" applyProtection="1">
      <alignment horizontal="left" vertical="center"/>
      <protection hidden="1"/>
    </xf>
    <xf numFmtId="0" fontId="37" fillId="0" borderId="8" xfId="5" applyFont="1" applyBorder="1" applyAlignment="1" applyProtection="1">
      <alignment horizontal="left" vertical="center"/>
      <protection hidden="1"/>
    </xf>
    <xf numFmtId="0" fontId="38" fillId="0" borderId="0" xfId="2" applyFont="1" applyProtection="1">
      <protection hidden="1"/>
    </xf>
    <xf numFmtId="0" fontId="31" fillId="0" borderId="7" xfId="5" applyFont="1" applyBorder="1" applyAlignment="1" applyProtection="1">
      <alignment vertical="center"/>
      <protection hidden="1"/>
    </xf>
    <xf numFmtId="0" fontId="30" fillId="0" borderId="2" xfId="5" applyFont="1" applyBorder="1" applyAlignment="1" applyProtection="1">
      <alignment horizontal="center" vertical="center"/>
      <protection hidden="1"/>
    </xf>
    <xf numFmtId="0" fontId="6" fillId="0" borderId="6" xfId="0" applyFont="1" applyBorder="1" applyAlignment="1" applyProtection="1">
      <alignment horizontal="center" vertical="center"/>
      <protection hidden="1"/>
    </xf>
    <xf numFmtId="0" fontId="33" fillId="0" borderId="6" xfId="5" applyFont="1" applyBorder="1" applyAlignment="1" applyProtection="1">
      <alignment horizontal="center" vertical="top"/>
      <protection hidden="1"/>
    </xf>
    <xf numFmtId="0" fontId="33" fillId="0" borderId="9" xfId="5" applyFont="1" applyBorder="1" applyAlignment="1" applyProtection="1">
      <alignment horizontal="center" vertical="center"/>
      <protection hidden="1"/>
    </xf>
    <xf numFmtId="0" fontId="33" fillId="0" borderId="10" xfId="5" applyFont="1" applyBorder="1" applyAlignment="1" applyProtection="1">
      <alignment horizontal="center" vertical="top"/>
      <protection hidden="1"/>
    </xf>
    <xf numFmtId="0" fontId="40" fillId="3" borderId="0" xfId="0" applyFont="1" applyFill="1" applyBorder="1" applyAlignment="1" applyProtection="1">
      <alignment horizontal="left"/>
      <protection hidden="1"/>
    </xf>
    <xf numFmtId="164" fontId="40" fillId="3" borderId="0" xfId="5" applyNumberFormat="1" applyFont="1" applyFill="1" applyBorder="1" applyAlignment="1" applyProtection="1">
      <protection hidden="1"/>
    </xf>
    <xf numFmtId="0" fontId="40" fillId="3" borderId="11" xfId="0" applyFont="1" applyFill="1" applyBorder="1" applyAlignment="1" applyProtection="1">
      <alignment horizontal="left"/>
      <protection hidden="1"/>
    </xf>
    <xf numFmtId="0" fontId="40" fillId="3" borderId="12" xfId="0" applyFont="1" applyFill="1" applyBorder="1" applyAlignment="1" applyProtection="1">
      <alignment horizontal="left"/>
      <protection hidden="1"/>
    </xf>
    <xf numFmtId="164" fontId="40" fillId="3" borderId="12" xfId="5" applyNumberFormat="1" applyFont="1" applyFill="1" applyBorder="1" applyAlignment="1" applyProtection="1">
      <protection hidden="1"/>
    </xf>
    <xf numFmtId="164" fontId="40" fillId="3" borderId="13" xfId="5" applyNumberFormat="1" applyFont="1" applyFill="1" applyBorder="1" applyAlignment="1" applyProtection="1">
      <protection hidden="1"/>
    </xf>
    <xf numFmtId="0" fontId="40" fillId="3" borderId="14" xfId="0" applyFont="1" applyFill="1" applyBorder="1" applyAlignment="1" applyProtection="1">
      <alignment horizontal="left"/>
      <protection hidden="1"/>
    </xf>
    <xf numFmtId="164" fontId="40" fillId="3" borderId="3" xfId="5" applyNumberFormat="1" applyFont="1" applyFill="1" applyBorder="1" applyAlignment="1" applyProtection="1">
      <protection hidden="1"/>
    </xf>
    <xf numFmtId="0" fontId="40" fillId="3" borderId="15" xfId="0" applyFont="1" applyFill="1" applyBorder="1" applyAlignment="1" applyProtection="1">
      <alignment horizontal="left"/>
      <protection hidden="1"/>
    </xf>
    <xf numFmtId="0" fontId="40" fillId="3" borderId="16" xfId="0" applyFont="1" applyFill="1" applyBorder="1" applyAlignment="1" applyProtection="1">
      <alignment horizontal="left"/>
      <protection hidden="1"/>
    </xf>
    <xf numFmtId="164" fontId="40" fillId="3" borderId="16" xfId="5" applyNumberFormat="1" applyFont="1" applyFill="1" applyBorder="1" applyAlignment="1" applyProtection="1">
      <protection hidden="1"/>
    </xf>
    <xf numFmtId="164" fontId="40" fillId="3" borderId="17" xfId="5" applyNumberFormat="1" applyFont="1" applyFill="1" applyBorder="1" applyAlignment="1" applyProtection="1">
      <protection hidden="1"/>
    </xf>
    <xf numFmtId="0" fontId="0" fillId="0" borderId="0" xfId="0" applyBorder="1"/>
    <xf numFmtId="0" fontId="32" fillId="0" borderId="0" xfId="5" applyFont="1" applyBorder="1" applyProtection="1">
      <protection hidden="1"/>
    </xf>
    <xf numFmtId="0" fontId="41" fillId="0" borderId="0" xfId="0" applyFont="1" applyBorder="1"/>
    <xf numFmtId="0" fontId="40" fillId="0" borderId="0" xfId="0" applyNumberFormat="1" applyFont="1" applyBorder="1"/>
    <xf numFmtId="0" fontId="6" fillId="0" borderId="0" xfId="0" applyFont="1" applyBorder="1" applyAlignment="1" applyProtection="1">
      <alignment horizontal="center" vertical="center"/>
      <protection hidden="1"/>
    </xf>
    <xf numFmtId="0" fontId="33" fillId="0" borderId="0" xfId="5" applyFont="1" applyBorder="1" applyAlignment="1" applyProtection="1">
      <alignment horizontal="center" vertical="top"/>
      <protection hidden="1"/>
    </xf>
    <xf numFmtId="0" fontId="4" fillId="0" borderId="0" xfId="0" applyFont="1" applyAlignment="1">
      <alignment horizontal="center" vertical="center"/>
    </xf>
    <xf numFmtId="0" fontId="29" fillId="0" borderId="0" xfId="5" applyFont="1" applyBorder="1" applyAlignment="1" applyProtection="1">
      <alignment horizontal="center" vertical="center"/>
      <protection hidden="1"/>
    </xf>
    <xf numFmtId="0" fontId="12" fillId="0" borderId="0" xfId="0" applyFont="1" applyAlignment="1">
      <alignment horizontal="center" vertical="center"/>
    </xf>
    <xf numFmtId="0" fontId="6" fillId="0" borderId="0" xfId="5" applyFont="1" applyBorder="1" applyAlignment="1" applyProtection="1">
      <alignment wrapText="1"/>
      <protection hidden="1"/>
    </xf>
    <xf numFmtId="0" fontId="28" fillId="0" borderId="0" xfId="5" applyFont="1" applyAlignment="1" applyProtection="1">
      <alignment horizontal="center" vertical="center"/>
      <protection hidden="1"/>
    </xf>
    <xf numFmtId="0" fontId="29" fillId="0" borderId="0" xfId="5" applyFont="1" applyAlignment="1" applyProtection="1">
      <alignment horizontal="center" vertical="center"/>
      <protection hidden="1"/>
    </xf>
    <xf numFmtId="0" fontId="30" fillId="0" borderId="0" xfId="5" applyFont="1" applyBorder="1" applyProtection="1">
      <protection hidden="1"/>
    </xf>
    <xf numFmtId="0" fontId="28" fillId="0" borderId="0" xfId="5" applyFont="1" applyProtection="1">
      <protection hidden="1"/>
    </xf>
    <xf numFmtId="0" fontId="33" fillId="0" borderId="0" xfId="5" applyFont="1" applyProtection="1">
      <protection hidden="1"/>
    </xf>
    <xf numFmtId="0" fontId="28" fillId="0" borderId="12" xfId="5" applyFont="1" applyBorder="1" applyAlignment="1" applyProtection="1">
      <protection hidden="1"/>
    </xf>
    <xf numFmtId="0" fontId="28" fillId="0" borderId="0" xfId="5" applyFont="1" applyBorder="1" applyAlignment="1" applyProtection="1">
      <protection hidden="1"/>
    </xf>
    <xf numFmtId="0" fontId="32" fillId="0" borderId="14" xfId="5" applyFont="1" applyBorder="1" applyAlignment="1" applyProtection="1">
      <protection hidden="1"/>
    </xf>
    <xf numFmtId="164" fontId="32" fillId="0" borderId="11" xfId="5" applyNumberFormat="1" applyFont="1" applyBorder="1" applyAlignment="1" applyProtection="1">
      <protection hidden="1"/>
    </xf>
    <xf numFmtId="0" fontId="6" fillId="0" borderId="0" xfId="5" applyFont="1" applyBorder="1" applyProtection="1">
      <protection hidden="1"/>
    </xf>
    <xf numFmtId="0" fontId="32" fillId="3" borderId="14" xfId="5" applyFont="1" applyFill="1" applyBorder="1" applyAlignment="1" applyProtection="1">
      <protection hidden="1"/>
    </xf>
    <xf numFmtId="0" fontId="32" fillId="3" borderId="0" xfId="5" applyFont="1" applyFill="1" applyBorder="1" applyAlignment="1" applyProtection="1">
      <protection hidden="1"/>
    </xf>
    <xf numFmtId="0" fontId="28" fillId="3" borderId="13" xfId="5" applyFont="1" applyFill="1" applyBorder="1" applyAlignment="1" applyProtection="1">
      <protection hidden="1"/>
    </xf>
    <xf numFmtId="0" fontId="28" fillId="3" borderId="0" xfId="5" applyFont="1" applyFill="1" applyBorder="1" applyAlignment="1" applyProtection="1">
      <protection hidden="1"/>
    </xf>
    <xf numFmtId="0" fontId="28" fillId="3" borderId="3" xfId="5" applyFont="1" applyFill="1" applyBorder="1" applyAlignment="1" applyProtection="1">
      <protection hidden="1"/>
    </xf>
    <xf numFmtId="0" fontId="0" fillId="0" borderId="11" xfId="0" applyBorder="1"/>
    <xf numFmtId="0" fontId="0" fillId="0" borderId="12" xfId="0" applyBorder="1"/>
    <xf numFmtId="0" fontId="4" fillId="0" borderId="13" xfId="0" applyFont="1" applyBorder="1"/>
    <xf numFmtId="0" fontId="0" fillId="0" borderId="14" xfId="0" applyBorder="1"/>
    <xf numFmtId="0" fontId="4" fillId="3" borderId="3" xfId="0" applyFont="1" applyFill="1" applyBorder="1"/>
    <xf numFmtId="0" fontId="0" fillId="0" borderId="3" xfId="0" applyBorder="1"/>
    <xf numFmtId="0" fontId="34" fillId="0" borderId="0" xfId="0" applyFont="1" applyBorder="1"/>
    <xf numFmtId="0" fontId="6" fillId="0" borderId="14" xfId="0" applyFont="1" applyFill="1" applyBorder="1" applyAlignment="1" applyProtection="1">
      <alignment horizontal="center" vertical="center"/>
      <protection hidden="1"/>
    </xf>
    <xf numFmtId="0" fontId="32" fillId="3" borderId="20" xfId="5" applyFont="1" applyFill="1" applyBorder="1" applyProtection="1">
      <protection hidden="1"/>
    </xf>
    <xf numFmtId="0" fontId="4" fillId="0" borderId="14" xfId="0" applyFont="1" applyBorder="1"/>
    <xf numFmtId="0" fontId="32" fillId="3" borderId="3" xfId="5" applyFont="1" applyFill="1" applyBorder="1" applyAlignment="1" applyProtection="1">
      <protection hidden="1"/>
    </xf>
    <xf numFmtId="0" fontId="28" fillId="3" borderId="20" xfId="5" applyFont="1" applyFill="1" applyBorder="1" applyProtection="1">
      <protection hidden="1"/>
    </xf>
    <xf numFmtId="0" fontId="0" fillId="0" borderId="15" xfId="0" applyBorder="1"/>
    <xf numFmtId="0" fontId="0" fillId="0" borderId="16" xfId="0" applyBorder="1"/>
    <xf numFmtId="0" fontId="32" fillId="3" borderId="15" xfId="5" applyFont="1" applyFill="1" applyBorder="1" applyAlignment="1" applyProtection="1">
      <protection hidden="1"/>
    </xf>
    <xf numFmtId="0" fontId="28" fillId="3" borderId="21" xfId="5" applyFont="1" applyFill="1" applyBorder="1" applyProtection="1">
      <protection hidden="1"/>
    </xf>
    <xf numFmtId="0" fontId="42" fillId="0" borderId="12" xfId="0" applyFont="1" applyBorder="1"/>
    <xf numFmtId="0" fontId="43" fillId="0" borderId="12" xfId="0" applyFont="1" applyBorder="1"/>
    <xf numFmtId="0" fontId="43" fillId="0" borderId="0" xfId="0" applyFont="1" applyBorder="1"/>
    <xf numFmtId="0" fontId="42" fillId="0" borderId="0" xfId="0" applyFont="1" applyBorder="1"/>
    <xf numFmtId="0" fontId="30" fillId="0" borderId="0" xfId="5" quotePrefix="1" applyFont="1" applyBorder="1" applyProtection="1">
      <protection hidden="1"/>
    </xf>
    <xf numFmtId="0" fontId="28" fillId="0" borderId="0" xfId="0" applyFont="1" applyBorder="1" applyProtection="1">
      <protection hidden="1"/>
    </xf>
    <xf numFmtId="0" fontId="36" fillId="5" borderId="0" xfId="0" applyFont="1" applyFill="1" applyProtection="1">
      <protection hidden="1"/>
    </xf>
    <xf numFmtId="0" fontId="45" fillId="0" borderId="7" xfId="5" applyFont="1" applyBorder="1" applyAlignment="1" applyProtection="1">
      <alignment horizontal="left" vertical="center"/>
      <protection hidden="1"/>
    </xf>
    <xf numFmtId="0" fontId="44" fillId="0" borderId="0" xfId="5" applyFont="1" applyFill="1" applyBorder="1" applyProtection="1">
      <protection hidden="1"/>
    </xf>
    <xf numFmtId="0" fontId="24" fillId="4" borderId="0" xfId="4" applyFill="1" applyProtection="1">
      <protection hidden="1"/>
    </xf>
    <xf numFmtId="0" fontId="41" fillId="4" borderId="0" xfId="4" quotePrefix="1" applyFont="1" applyFill="1" applyBorder="1" applyAlignment="1" applyProtection="1">
      <protection hidden="1"/>
    </xf>
    <xf numFmtId="0" fontId="4" fillId="4" borderId="0" xfId="5" applyFont="1" applyFill="1" applyBorder="1" applyAlignment="1" applyProtection="1">
      <protection hidden="1"/>
    </xf>
    <xf numFmtId="0" fontId="41" fillId="4" borderId="0" xfId="4" applyFont="1" applyFill="1" applyProtection="1">
      <protection hidden="1"/>
    </xf>
    <xf numFmtId="2" fontId="40" fillId="4" borderId="2" xfId="4" applyNumberFormat="1" applyFont="1" applyFill="1" applyBorder="1" applyAlignment="1" applyProtection="1">
      <alignment horizontal="center" vertical="center"/>
      <protection hidden="1"/>
    </xf>
    <xf numFmtId="2" fontId="40" fillId="4" borderId="0" xfId="4" applyNumberFormat="1" applyFont="1" applyFill="1" applyBorder="1" applyAlignment="1" applyProtection="1">
      <alignment horizontal="center" vertical="center"/>
      <protection hidden="1"/>
    </xf>
    <xf numFmtId="165" fontId="40" fillId="4" borderId="2" xfId="4" applyNumberFormat="1" applyFont="1" applyFill="1" applyBorder="1" applyAlignment="1" applyProtection="1">
      <alignment horizontal="center" vertical="center"/>
      <protection hidden="1"/>
    </xf>
    <xf numFmtId="165" fontId="40" fillId="4" borderId="0" xfId="4" applyNumberFormat="1" applyFont="1" applyFill="1" applyBorder="1" applyAlignment="1" applyProtection="1">
      <alignment horizontal="center" vertical="center"/>
      <protection hidden="1"/>
    </xf>
    <xf numFmtId="2" fontId="24" fillId="4" borderId="2" xfId="4" applyNumberFormat="1" applyFill="1" applyBorder="1" applyAlignment="1" applyProtection="1">
      <alignment horizontal="center" vertical="center"/>
      <protection hidden="1"/>
    </xf>
    <xf numFmtId="2" fontId="24" fillId="4" borderId="0" xfId="4" applyNumberFormat="1" applyFill="1" applyBorder="1" applyAlignment="1" applyProtection="1">
      <alignment horizontal="center" vertical="center"/>
      <protection hidden="1"/>
    </xf>
    <xf numFmtId="2" fontId="40" fillId="4" borderId="2" xfId="5" applyNumberFormat="1" applyFont="1" applyFill="1" applyBorder="1" applyAlignment="1" applyProtection="1">
      <alignment horizontal="center" vertical="center"/>
      <protection hidden="1"/>
    </xf>
    <xf numFmtId="2" fontId="40" fillId="4" borderId="0" xfId="5" applyNumberFormat="1" applyFont="1" applyFill="1" applyBorder="1" applyAlignment="1" applyProtection="1">
      <alignment horizontal="center" vertical="center"/>
      <protection hidden="1"/>
    </xf>
    <xf numFmtId="0" fontId="40" fillId="4" borderId="0" xfId="4" applyFont="1" applyFill="1" applyBorder="1" applyAlignment="1" applyProtection="1">
      <alignment vertical="center"/>
      <protection hidden="1"/>
    </xf>
    <xf numFmtId="0" fontId="41" fillId="4" borderId="0" xfId="4" applyFont="1" applyFill="1" applyBorder="1" applyAlignment="1" applyProtection="1">
      <alignment vertical="center"/>
      <protection hidden="1"/>
    </xf>
    <xf numFmtId="2" fontId="40" fillId="3" borderId="6" xfId="4" applyNumberFormat="1" applyFont="1" applyFill="1" applyBorder="1" applyAlignment="1" applyProtection="1">
      <alignment horizontal="center" vertical="center"/>
      <protection hidden="1"/>
    </xf>
    <xf numFmtId="0" fontId="49" fillId="4" borderId="0" xfId="4" quotePrefix="1" applyFont="1" applyFill="1" applyBorder="1" applyAlignment="1" applyProtection="1">
      <alignment vertical="center"/>
      <protection hidden="1"/>
    </xf>
    <xf numFmtId="0" fontId="50" fillId="4" borderId="0" xfId="5" quotePrefix="1" applyFont="1" applyFill="1" applyBorder="1" applyAlignment="1" applyProtection="1">
      <alignment vertical="center"/>
      <protection hidden="1"/>
    </xf>
    <xf numFmtId="0" fontId="46" fillId="4" borderId="0" xfId="4" quotePrefix="1" applyFont="1" applyFill="1" applyBorder="1" applyAlignment="1" applyProtection="1">
      <alignment vertical="center"/>
      <protection hidden="1"/>
    </xf>
    <xf numFmtId="0" fontId="46" fillId="4" borderId="0" xfId="4" applyFont="1" applyFill="1" applyBorder="1" applyAlignment="1" applyProtection="1">
      <alignment vertical="center"/>
      <protection hidden="1"/>
    </xf>
    <xf numFmtId="0" fontId="24" fillId="8" borderId="19" xfId="4" applyFill="1" applyBorder="1" applyProtection="1">
      <protection hidden="1"/>
    </xf>
    <xf numFmtId="0" fontId="24" fillId="8" borderId="18" xfId="4" applyFill="1" applyBorder="1" applyProtection="1">
      <protection hidden="1"/>
    </xf>
    <xf numFmtId="0" fontId="40" fillId="8" borderId="18" xfId="4" applyFont="1" applyFill="1" applyBorder="1" applyAlignment="1" applyProtection="1">
      <alignment horizontal="left" vertical="center"/>
      <protection hidden="1"/>
    </xf>
    <xf numFmtId="2" fontId="40" fillId="8" borderId="18" xfId="4" applyNumberFormat="1" applyFont="1" applyFill="1" applyBorder="1" applyAlignment="1" applyProtection="1">
      <alignment horizontal="center" vertical="center"/>
      <protection hidden="1"/>
    </xf>
    <xf numFmtId="0" fontId="40" fillId="8" borderId="23" xfId="4" applyFont="1" applyFill="1" applyBorder="1" applyAlignment="1" applyProtection="1">
      <alignment horizontal="left" vertical="center"/>
      <protection hidden="1"/>
    </xf>
    <xf numFmtId="0" fontId="24" fillId="8" borderId="24" xfId="4" applyFill="1" applyBorder="1" applyProtection="1">
      <protection hidden="1"/>
    </xf>
    <xf numFmtId="0" fontId="24" fillId="8" borderId="23" xfId="4" applyFill="1" applyBorder="1" applyProtection="1">
      <protection hidden="1"/>
    </xf>
    <xf numFmtId="0" fontId="0" fillId="4" borderId="0" xfId="0" applyFill="1" applyProtection="1">
      <protection hidden="1"/>
    </xf>
    <xf numFmtId="0" fontId="40" fillId="4" borderId="0" xfId="4" applyFont="1" applyFill="1" applyBorder="1" applyAlignment="1" applyProtection="1">
      <alignment vertical="center"/>
      <protection hidden="1"/>
    </xf>
    <xf numFmtId="0" fontId="28" fillId="0" borderId="0" xfId="5" applyFont="1" applyAlignment="1" applyProtection="1">
      <alignment vertical="center"/>
      <protection hidden="1"/>
    </xf>
    <xf numFmtId="0" fontId="33" fillId="0" borderId="0" xfId="5" applyFont="1" applyAlignment="1" applyProtection="1">
      <alignment vertical="center"/>
      <protection hidden="1"/>
    </xf>
    <xf numFmtId="0" fontId="0" fillId="0" borderId="0" xfId="0" applyAlignment="1" applyProtection="1">
      <alignment vertical="center"/>
      <protection hidden="1"/>
    </xf>
    <xf numFmtId="0" fontId="28" fillId="7" borderId="0" xfId="5" applyFont="1" applyFill="1" applyBorder="1" applyAlignment="1" applyProtection="1">
      <alignment horizontal="center" vertical="center"/>
      <protection hidden="1"/>
    </xf>
    <xf numFmtId="2" fontId="33" fillId="7" borderId="0" xfId="5" applyNumberFormat="1" applyFont="1" applyFill="1" applyBorder="1" applyAlignment="1" applyProtection="1">
      <alignment horizontal="center" vertical="center"/>
      <protection hidden="1"/>
    </xf>
    <xf numFmtId="2" fontId="33" fillId="7" borderId="0" xfId="5" applyNumberFormat="1" applyFont="1" applyFill="1" applyBorder="1" applyAlignment="1" applyProtection="1">
      <alignment horizontal="left" vertical="center"/>
      <protection hidden="1"/>
    </xf>
    <xf numFmtId="2" fontId="30" fillId="7" borderId="0" xfId="5" applyNumberFormat="1" applyFont="1" applyFill="1" applyBorder="1" applyAlignment="1" applyProtection="1">
      <alignment horizontal="center" vertical="center"/>
      <protection hidden="1"/>
    </xf>
    <xf numFmtId="2" fontId="33" fillId="7" borderId="5" xfId="5" applyNumberFormat="1" applyFont="1" applyFill="1" applyBorder="1" applyAlignment="1" applyProtection="1">
      <alignment horizontal="center" vertical="center"/>
      <protection hidden="1"/>
    </xf>
    <xf numFmtId="0" fontId="28" fillId="7" borderId="5" xfId="5" applyFont="1" applyFill="1" applyBorder="1" applyAlignment="1" applyProtection="1">
      <alignment vertical="center"/>
      <protection hidden="1"/>
    </xf>
    <xf numFmtId="0" fontId="30" fillId="7" borderId="5" xfId="5" applyFont="1" applyFill="1" applyBorder="1" applyAlignment="1" applyProtection="1">
      <alignment vertical="center"/>
      <protection hidden="1"/>
    </xf>
    <xf numFmtId="0" fontId="30" fillId="7" borderId="18" xfId="0" applyFont="1" applyFill="1" applyBorder="1" applyAlignment="1" applyProtection="1">
      <alignment horizontal="left" vertical="center" wrapText="1"/>
      <protection hidden="1"/>
    </xf>
    <xf numFmtId="0" fontId="30" fillId="7" borderId="26" xfId="0" applyFont="1" applyFill="1" applyBorder="1" applyAlignment="1" applyProtection="1">
      <alignment horizontal="left" vertical="center" wrapText="1"/>
      <protection hidden="1"/>
    </xf>
    <xf numFmtId="0" fontId="30" fillId="7" borderId="22" xfId="0" applyFont="1" applyFill="1" applyBorder="1" applyAlignment="1" applyProtection="1">
      <alignment horizontal="left" vertical="center" wrapText="1"/>
      <protection hidden="1"/>
    </xf>
    <xf numFmtId="0" fontId="30" fillId="7" borderId="25" xfId="0" applyFont="1" applyFill="1" applyBorder="1" applyAlignment="1" applyProtection="1">
      <alignment horizontal="left" vertical="center" wrapText="1"/>
      <protection hidden="1"/>
    </xf>
    <xf numFmtId="0" fontId="0" fillId="4" borderId="0" xfId="0" applyFill="1" applyBorder="1" applyProtection="1">
      <protection hidden="1"/>
    </xf>
    <xf numFmtId="0" fontId="57" fillId="4" borderId="0" xfId="0" applyFont="1" applyFill="1" applyBorder="1" applyAlignment="1" applyProtection="1">
      <alignment horizontal="left" vertical="top" wrapText="1"/>
      <protection hidden="1"/>
    </xf>
    <xf numFmtId="0" fontId="4" fillId="0" borderId="28" xfId="0" applyFont="1" applyBorder="1" applyAlignment="1" applyProtection="1">
      <alignment horizontal="center" vertical="center"/>
      <protection hidden="1"/>
    </xf>
    <xf numFmtId="0" fontId="49" fillId="0" borderId="28" xfId="0" applyFont="1" applyBorder="1" applyAlignment="1" applyProtection="1">
      <alignment horizontal="center" vertical="center" wrapText="1"/>
      <protection hidden="1"/>
    </xf>
    <xf numFmtId="0" fontId="41" fillId="6" borderId="28" xfId="0" applyFont="1" applyFill="1" applyBorder="1" applyAlignment="1" applyProtection="1">
      <alignment horizontal="left" vertical="center" wrapText="1"/>
      <protection hidden="1"/>
    </xf>
    <xf numFmtId="0" fontId="49" fillId="4" borderId="29" xfId="0" applyFont="1" applyFill="1" applyBorder="1" applyAlignment="1" applyProtection="1">
      <alignment horizontal="center" vertical="center" wrapText="1"/>
      <protection hidden="1"/>
    </xf>
    <xf numFmtId="0" fontId="0" fillId="0" borderId="0" xfId="0" applyBorder="1" applyProtection="1">
      <protection hidden="1"/>
    </xf>
    <xf numFmtId="0" fontId="4" fillId="0" borderId="0" xfId="0" applyFont="1" applyBorder="1" applyProtection="1">
      <protection hidden="1"/>
    </xf>
    <xf numFmtId="0" fontId="4" fillId="4" borderId="0" xfId="0" applyFont="1" applyFill="1" applyBorder="1" applyProtection="1">
      <protection hidden="1"/>
    </xf>
    <xf numFmtId="0" fontId="61" fillId="4" borderId="0" xfId="0" applyFont="1" applyFill="1" applyBorder="1" applyProtection="1">
      <protection hidden="1"/>
    </xf>
    <xf numFmtId="0" fontId="45" fillId="4" borderId="0" xfId="5" applyFont="1" applyFill="1" applyBorder="1" applyAlignment="1" applyProtection="1">
      <alignment horizontal="center" wrapText="1"/>
      <protection hidden="1"/>
    </xf>
    <xf numFmtId="0" fontId="0" fillId="0" borderId="0" xfId="0" applyBorder="1" applyAlignment="1" applyProtection="1">
      <alignment vertical="center"/>
      <protection hidden="1"/>
    </xf>
    <xf numFmtId="0" fontId="58" fillId="4" borderId="0" xfId="0" applyFont="1" applyFill="1" applyAlignment="1" applyProtection="1">
      <alignment horizontal="center" vertical="center"/>
      <protection hidden="1"/>
    </xf>
    <xf numFmtId="0" fontId="59" fillId="4" borderId="0" xfId="0" applyFont="1" applyFill="1" applyBorder="1" applyAlignment="1" applyProtection="1">
      <alignment horizontal="left" vertical="top" wrapText="1"/>
      <protection hidden="1"/>
    </xf>
    <xf numFmtId="0" fontId="15" fillId="4" borderId="0" xfId="0" applyFont="1" applyFill="1" applyBorder="1" applyAlignment="1" applyProtection="1">
      <alignment horizontal="left" vertical="top" wrapText="1"/>
      <protection hidden="1"/>
    </xf>
    <xf numFmtId="0" fontId="49" fillId="4" borderId="0" xfId="0" applyFont="1" applyFill="1" applyBorder="1" applyAlignment="1" applyProtection="1">
      <alignment horizontal="center" vertical="center" wrapText="1"/>
      <protection hidden="1"/>
    </xf>
    <xf numFmtId="0" fontId="49" fillId="4" borderId="0" xfId="0" applyFont="1" applyFill="1" applyBorder="1" applyAlignment="1" applyProtection="1">
      <alignment horizontal="left" vertical="top" wrapText="1"/>
      <protection hidden="1"/>
    </xf>
    <xf numFmtId="0" fontId="61" fillId="4" borderId="0" xfId="0" applyFont="1" applyFill="1" applyBorder="1" applyAlignment="1" applyProtection="1">
      <alignment wrapText="1"/>
      <protection hidden="1"/>
    </xf>
    <xf numFmtId="0" fontId="12" fillId="4" borderId="0" xfId="0" applyFont="1" applyFill="1" applyBorder="1" applyProtection="1">
      <protection hidden="1"/>
    </xf>
    <xf numFmtId="0" fontId="0" fillId="4" borderId="0" xfId="0" applyFill="1" applyAlignment="1" applyProtection="1">
      <protection hidden="1"/>
    </xf>
    <xf numFmtId="0" fontId="28" fillId="4" borderId="0" xfId="5" applyFont="1" applyFill="1" applyProtection="1">
      <protection hidden="1"/>
    </xf>
    <xf numFmtId="0" fontId="39" fillId="4" borderId="0" xfId="5" applyFont="1" applyFill="1" applyBorder="1" applyAlignment="1" applyProtection="1">
      <alignment vertical="top"/>
      <protection hidden="1"/>
    </xf>
    <xf numFmtId="0" fontId="33" fillId="4" borderId="0" xfId="5" applyFont="1" applyFill="1" applyBorder="1" applyAlignment="1" applyProtection="1">
      <alignment vertical="top"/>
      <protection hidden="1"/>
    </xf>
    <xf numFmtId="0" fontId="28" fillId="4" borderId="0" xfId="5" applyFont="1" applyFill="1" applyBorder="1" applyProtection="1">
      <protection hidden="1"/>
    </xf>
    <xf numFmtId="0" fontId="33" fillId="7" borderId="0" xfId="5" applyNumberFormat="1" applyFont="1" applyFill="1" applyBorder="1" applyAlignment="1" applyProtection="1">
      <alignment horizontal="left" vertical="center"/>
      <protection hidden="1"/>
    </xf>
    <xf numFmtId="0" fontId="28" fillId="0" borderId="28" xfId="5" applyFont="1" applyBorder="1" applyProtection="1">
      <protection hidden="1"/>
    </xf>
    <xf numFmtId="0" fontId="35" fillId="9" borderId="28" xfId="5" applyFont="1" applyFill="1" applyBorder="1" applyAlignment="1" applyProtection="1">
      <alignment horizontal="center" vertical="center" wrapText="1"/>
      <protection hidden="1"/>
    </xf>
    <xf numFmtId="0" fontId="16" fillId="9" borderId="28" xfId="0" applyFont="1" applyFill="1" applyBorder="1" applyAlignment="1" applyProtection="1">
      <alignment horizontal="center" vertical="center" wrapText="1"/>
      <protection hidden="1"/>
    </xf>
    <xf numFmtId="2" fontId="33" fillId="6" borderId="28" xfId="5" applyNumberFormat="1" applyFont="1" applyFill="1" applyBorder="1" applyAlignment="1" applyProtection="1">
      <alignment horizontal="center" vertical="center"/>
      <protection hidden="1"/>
    </xf>
    <xf numFmtId="0" fontId="32" fillId="6" borderId="28" xfId="5" applyFont="1" applyFill="1" applyBorder="1" applyAlignment="1" applyProtection="1">
      <alignment horizontal="center" vertical="center" wrapText="1"/>
      <protection hidden="1"/>
    </xf>
    <xf numFmtId="0" fontId="33" fillId="6" borderId="28" xfId="5" applyFont="1" applyFill="1" applyBorder="1" applyAlignment="1" applyProtection="1">
      <alignment horizontal="center" vertical="center"/>
      <protection hidden="1"/>
    </xf>
    <xf numFmtId="0" fontId="28" fillId="4" borderId="0" xfId="5" applyFont="1" applyFill="1" applyAlignment="1" applyProtection="1">
      <alignment horizontal="center" vertical="center"/>
      <protection hidden="1"/>
    </xf>
    <xf numFmtId="0" fontId="29" fillId="4" borderId="0" xfId="5" applyFont="1" applyFill="1" applyProtection="1">
      <protection hidden="1"/>
    </xf>
    <xf numFmtId="0" fontId="8" fillId="9" borderId="28" xfId="0" applyFont="1" applyFill="1" applyBorder="1" applyAlignment="1" applyProtection="1">
      <alignment horizontal="center" vertical="center" wrapText="1"/>
      <protection hidden="1"/>
    </xf>
    <xf numFmtId="2" fontId="31" fillId="6" borderId="28" xfId="5" applyNumberFormat="1" applyFont="1" applyFill="1" applyBorder="1" applyAlignment="1" applyProtection="1">
      <alignment horizontal="center" vertical="center"/>
      <protection hidden="1"/>
    </xf>
    <xf numFmtId="0" fontId="33" fillId="4" borderId="1" xfId="5" applyFont="1" applyFill="1" applyBorder="1" applyAlignment="1" applyProtection="1">
      <alignment vertical="center"/>
      <protection hidden="1"/>
    </xf>
    <xf numFmtId="2" fontId="28" fillId="4" borderId="0" xfId="5" applyNumberFormat="1" applyFont="1" applyFill="1" applyBorder="1" applyAlignment="1" applyProtection="1">
      <alignment horizontal="center" vertical="center"/>
      <protection hidden="1"/>
    </xf>
    <xf numFmtId="0" fontId="28" fillId="4" borderId="0" xfId="5" applyFont="1" applyFill="1" applyBorder="1" applyAlignment="1" applyProtection="1">
      <alignment horizontal="center" vertical="center"/>
      <protection hidden="1"/>
    </xf>
    <xf numFmtId="0" fontId="30" fillId="4" borderId="0" xfId="5" applyFont="1" applyFill="1" applyBorder="1" applyAlignment="1" applyProtection="1">
      <alignment horizontal="center" vertical="center"/>
      <protection hidden="1"/>
    </xf>
    <xf numFmtId="0" fontId="28" fillId="4" borderId="29" xfId="5" applyFont="1" applyFill="1" applyBorder="1" applyProtection="1">
      <protection hidden="1"/>
    </xf>
    <xf numFmtId="0" fontId="2" fillId="4" borderId="0" xfId="4" applyFont="1" applyFill="1" applyBorder="1" applyAlignment="1" applyProtection="1">
      <alignment horizontal="center" vertical="center" wrapText="1"/>
      <protection hidden="1"/>
    </xf>
    <xf numFmtId="0" fontId="62" fillId="6" borderId="28" xfId="5" applyFont="1" applyFill="1" applyBorder="1" applyAlignment="1" applyProtection="1">
      <alignment horizontal="center" vertical="center" wrapText="1"/>
      <protection hidden="1"/>
    </xf>
    <xf numFmtId="2" fontId="31" fillId="6" borderId="28" xfId="5" applyNumberFormat="1" applyFont="1" applyFill="1" applyBorder="1" applyAlignment="1" applyProtection="1">
      <alignment horizontal="center" vertical="center" wrapText="1"/>
      <protection hidden="1"/>
    </xf>
    <xf numFmtId="0" fontId="53" fillId="9" borderId="31" xfId="2" applyFont="1" applyFill="1" applyBorder="1" applyAlignment="1" applyProtection="1">
      <alignment vertical="center"/>
      <protection hidden="1"/>
    </xf>
    <xf numFmtId="0" fontId="53" fillId="9" borderId="32" xfId="2" applyFont="1" applyFill="1" applyBorder="1" applyAlignment="1" applyProtection="1">
      <alignment vertical="center"/>
      <protection hidden="1"/>
    </xf>
    <xf numFmtId="0" fontId="53" fillId="9" borderId="30" xfId="2" applyFont="1" applyFill="1" applyBorder="1" applyAlignment="1" applyProtection="1">
      <alignment vertical="center"/>
      <protection hidden="1"/>
    </xf>
    <xf numFmtId="0" fontId="30" fillId="4" borderId="30" xfId="5" applyFont="1" applyFill="1" applyBorder="1" applyAlignment="1" applyProtection="1">
      <alignment horizontal="center" vertical="center"/>
      <protection hidden="1"/>
    </xf>
    <xf numFmtId="0" fontId="11" fillId="0" borderId="30" xfId="0" applyFont="1" applyBorder="1" applyAlignment="1" applyProtection="1">
      <alignment wrapText="1"/>
      <protection hidden="1"/>
    </xf>
    <xf numFmtId="0" fontId="29" fillId="9" borderId="28" xfId="5" applyFont="1" applyFill="1" applyBorder="1" applyAlignment="1" applyProtection="1">
      <alignment horizontal="center" vertical="center" wrapText="1"/>
      <protection hidden="1"/>
    </xf>
    <xf numFmtId="0" fontId="28" fillId="6" borderId="28" xfId="5" applyFont="1" applyFill="1" applyBorder="1" applyAlignment="1" applyProtection="1">
      <alignment horizontal="center" vertical="center" wrapText="1"/>
      <protection hidden="1"/>
    </xf>
    <xf numFmtId="0" fontId="2" fillId="4" borderId="0" xfId="4" applyFont="1" applyFill="1" applyBorder="1" applyAlignment="1" applyProtection="1">
      <alignment horizontal="center" vertical="center" wrapText="1"/>
      <protection hidden="1"/>
    </xf>
    <xf numFmtId="0" fontId="35" fillId="4" borderId="30" xfId="0" applyFont="1" applyFill="1" applyBorder="1" applyAlignment="1" applyProtection="1">
      <alignment horizontal="left" vertical="center" wrapText="1"/>
      <protection hidden="1"/>
    </xf>
    <xf numFmtId="0" fontId="29" fillId="9" borderId="36" xfId="5" applyFont="1" applyFill="1" applyBorder="1" applyAlignment="1" applyProtection="1">
      <alignment horizontal="center" vertical="center" wrapText="1"/>
      <protection hidden="1"/>
    </xf>
    <xf numFmtId="0" fontId="33" fillId="4" borderId="0" xfId="5" applyFont="1" applyFill="1" applyBorder="1" applyAlignment="1" applyProtection="1">
      <alignment vertical="center" wrapText="1"/>
      <protection hidden="1"/>
    </xf>
    <xf numFmtId="0" fontId="33" fillId="4" borderId="34" xfId="5" applyFont="1" applyFill="1" applyBorder="1" applyAlignment="1" applyProtection="1">
      <alignment vertical="center" wrapText="1"/>
      <protection hidden="1"/>
    </xf>
    <xf numFmtId="1" fontId="30" fillId="4" borderId="28" xfId="0" applyNumberFormat="1" applyFont="1" applyFill="1" applyBorder="1" applyAlignment="1" applyProtection="1">
      <alignment horizontal="center" vertical="center" wrapText="1"/>
      <protection locked="0" hidden="1"/>
    </xf>
    <xf numFmtId="0" fontId="33" fillId="4" borderId="28" xfId="5" applyFont="1" applyFill="1" applyBorder="1" applyAlignment="1" applyProtection="1">
      <alignment horizontal="center" vertical="center" wrapText="1"/>
      <protection locked="0" hidden="1"/>
    </xf>
    <xf numFmtId="2" fontId="33" fillId="4" borderId="28" xfId="5" applyNumberFormat="1" applyFont="1" applyFill="1" applyBorder="1" applyAlignment="1" applyProtection="1">
      <alignment horizontal="center" vertical="center"/>
      <protection locked="0" hidden="1"/>
    </xf>
    <xf numFmtId="166" fontId="33" fillId="4" borderId="28" xfId="5" applyNumberFormat="1" applyFont="1" applyFill="1" applyBorder="1" applyAlignment="1" applyProtection="1">
      <alignment horizontal="center" vertical="center"/>
      <protection locked="0" hidden="1"/>
    </xf>
    <xf numFmtId="164" fontId="33" fillId="4" borderId="28" xfId="5" applyNumberFormat="1" applyFont="1" applyFill="1" applyBorder="1" applyAlignment="1" applyProtection="1">
      <alignment horizontal="center" vertical="center"/>
      <protection locked="0" hidden="1"/>
    </xf>
    <xf numFmtId="0" fontId="40" fillId="4" borderId="0" xfId="4" applyFont="1" applyFill="1" applyBorder="1" applyAlignment="1" applyProtection="1">
      <alignment horizontal="center" vertical="center"/>
      <protection hidden="1"/>
    </xf>
    <xf numFmtId="0" fontId="51" fillId="4" borderId="0" xfId="0" applyFont="1" applyFill="1" applyAlignment="1" applyProtection="1">
      <alignment horizontal="left" vertical="center"/>
      <protection hidden="1"/>
    </xf>
    <xf numFmtId="0" fontId="44" fillId="4" borderId="0" xfId="5" applyFont="1" applyFill="1" applyProtection="1">
      <protection hidden="1"/>
    </xf>
    <xf numFmtId="0" fontId="12" fillId="9" borderId="28" xfId="0" applyFont="1" applyFill="1" applyBorder="1" applyAlignment="1" applyProtection="1">
      <alignment horizontal="center" vertical="center"/>
      <protection hidden="1"/>
    </xf>
    <xf numFmtId="0" fontId="12" fillId="9" borderId="28" xfId="0" applyFont="1" applyFill="1" applyBorder="1" applyAlignment="1" applyProtection="1">
      <alignment horizontal="center" vertical="center"/>
      <protection hidden="1"/>
    </xf>
    <xf numFmtId="0" fontId="12" fillId="9" borderId="28" xfId="0" applyFont="1" applyFill="1" applyBorder="1" applyAlignment="1" applyProtection="1">
      <alignment horizontal="center" vertical="center" wrapText="1"/>
      <protection hidden="1"/>
    </xf>
    <xf numFmtId="4" fontId="41" fillId="6" borderId="28" xfId="0" applyNumberFormat="1" applyFont="1" applyFill="1" applyBorder="1" applyAlignment="1" applyProtection="1">
      <alignment horizontal="center" vertical="center"/>
      <protection hidden="1"/>
    </xf>
    <xf numFmtId="4" fontId="41" fillId="6" borderId="28" xfId="0" applyNumberFormat="1" applyFont="1" applyFill="1" applyBorder="1" applyAlignment="1" applyProtection="1">
      <alignment horizontal="center" vertical="center"/>
      <protection locked="0" hidden="1"/>
    </xf>
    <xf numFmtId="3" fontId="41" fillId="6" borderId="28" xfId="0" applyNumberFormat="1" applyFont="1" applyFill="1" applyBorder="1" applyAlignment="1" applyProtection="1">
      <alignment horizontal="center" vertical="center"/>
      <protection hidden="1"/>
    </xf>
    <xf numFmtId="0" fontId="25" fillId="4" borderId="0" xfId="1" applyFill="1" applyProtection="1">
      <protection hidden="1"/>
    </xf>
    <xf numFmtId="0" fontId="60" fillId="4" borderId="0" xfId="2" applyFont="1" applyFill="1" applyBorder="1" applyAlignment="1" applyProtection="1">
      <alignment horizontal="center" vertical="center"/>
      <protection locked="0" hidden="1"/>
    </xf>
    <xf numFmtId="0" fontId="11" fillId="4" borderId="0" xfId="0" applyFont="1" applyFill="1" applyProtection="1">
      <protection hidden="1"/>
    </xf>
    <xf numFmtId="0" fontId="50" fillId="4" borderId="0" xfId="4" applyFont="1" applyFill="1" applyBorder="1" applyAlignment="1" applyProtection="1">
      <alignment horizontal="center" vertical="center"/>
      <protection hidden="1"/>
    </xf>
    <xf numFmtId="0" fontId="73" fillId="4" borderId="0" xfId="0" applyFont="1" applyFill="1" applyAlignment="1" applyProtection="1">
      <alignment horizontal="center" vertical="center"/>
      <protection hidden="1"/>
    </xf>
    <xf numFmtId="0" fontId="0" fillId="4" borderId="0" xfId="0" applyFill="1" applyAlignment="1" applyProtection="1">
      <alignment vertical="top" wrapText="1"/>
      <protection hidden="1"/>
    </xf>
    <xf numFmtId="0" fontId="28" fillId="4" borderId="0" xfId="5" applyFont="1" applyFill="1" applyAlignment="1" applyProtection="1">
      <alignment vertical="center"/>
      <protection hidden="1"/>
    </xf>
    <xf numFmtId="0" fontId="4" fillId="4" borderId="0" xfId="5" applyFill="1" applyProtection="1">
      <protection hidden="1"/>
    </xf>
    <xf numFmtId="0" fontId="32" fillId="4" borderId="38" xfId="6" applyFont="1" applyFill="1" applyBorder="1" applyAlignment="1" applyProtection="1">
      <alignment vertical="top" wrapText="1"/>
      <protection hidden="1"/>
    </xf>
    <xf numFmtId="0" fontId="0" fillId="4" borderId="0" xfId="0" applyFill="1" applyBorder="1" applyAlignment="1" applyProtection="1">
      <protection hidden="1"/>
    </xf>
    <xf numFmtId="0" fontId="30" fillId="4" borderId="0" xfId="0" applyFont="1" applyFill="1" applyBorder="1" applyAlignment="1" applyProtection="1">
      <alignment horizontal="center" wrapText="1"/>
      <protection hidden="1"/>
    </xf>
    <xf numFmtId="0" fontId="31" fillId="4" borderId="0" xfId="0" applyFont="1" applyFill="1" applyProtection="1">
      <protection hidden="1"/>
    </xf>
    <xf numFmtId="0" fontId="28" fillId="4" borderId="1" xfId="5" applyFont="1" applyFill="1" applyBorder="1" applyProtection="1">
      <protection hidden="1"/>
    </xf>
    <xf numFmtId="0" fontId="32" fillId="4" borderId="0" xfId="5" applyFont="1" applyFill="1" applyProtection="1">
      <protection hidden="1"/>
    </xf>
    <xf numFmtId="0" fontId="4" fillId="4" borderId="0" xfId="0" applyFont="1" applyFill="1" applyAlignment="1" applyProtection="1">
      <alignment horizontal="right"/>
      <protection hidden="1"/>
    </xf>
    <xf numFmtId="0" fontId="4" fillId="4" borderId="0" xfId="0" applyFont="1" applyFill="1" applyProtection="1">
      <protection hidden="1"/>
    </xf>
    <xf numFmtId="0" fontId="30" fillId="9" borderId="31" xfId="0" applyFont="1" applyFill="1" applyBorder="1" applyAlignment="1" applyProtection="1">
      <alignment horizontal="left" vertical="center"/>
      <protection hidden="1"/>
    </xf>
    <xf numFmtId="0" fontId="30" fillId="9" borderId="32" xfId="0" applyFont="1" applyFill="1" applyBorder="1" applyAlignment="1" applyProtection="1">
      <alignment horizontal="left" vertical="center"/>
      <protection hidden="1"/>
    </xf>
    <xf numFmtId="0" fontId="30" fillId="9" borderId="33" xfId="0" applyFont="1" applyFill="1" applyBorder="1" applyAlignment="1" applyProtection="1">
      <alignment horizontal="left" vertical="center"/>
      <protection hidden="1"/>
    </xf>
    <xf numFmtId="0" fontId="74" fillId="4" borderId="0" xfId="0" applyFont="1" applyFill="1" applyBorder="1" applyAlignment="1" applyProtection="1">
      <alignment vertical="top" wrapText="1"/>
      <protection hidden="1"/>
    </xf>
    <xf numFmtId="0" fontId="0" fillId="4" borderId="0" xfId="0" applyFill="1" applyBorder="1" applyAlignment="1" applyProtection="1">
      <alignment horizontal="left" vertical="top"/>
      <protection hidden="1"/>
    </xf>
    <xf numFmtId="0" fontId="1" fillId="4" borderId="0" xfId="0" applyFont="1" applyFill="1" applyAlignment="1" applyProtection="1">
      <alignment horizontal="left" vertical="top" wrapText="1"/>
      <protection hidden="1"/>
    </xf>
    <xf numFmtId="0" fontId="56" fillId="4" borderId="0" xfId="0" applyFont="1" applyFill="1" applyAlignment="1" applyProtection="1">
      <alignment horizontal="center" vertical="center"/>
      <protection hidden="1"/>
    </xf>
    <xf numFmtId="0" fontId="41" fillId="4" borderId="0" xfId="0" applyFont="1" applyFill="1" applyBorder="1" applyAlignment="1" applyProtection="1">
      <alignment horizontal="left" vertical="top" wrapText="1"/>
      <protection hidden="1"/>
    </xf>
    <xf numFmtId="0" fontId="41" fillId="4" borderId="0" xfId="0" applyFont="1" applyFill="1" applyBorder="1" applyAlignment="1" applyProtection="1">
      <alignment vertical="top" wrapText="1"/>
      <protection hidden="1"/>
    </xf>
    <xf numFmtId="0" fontId="0" fillId="4" borderId="0" xfId="0" applyFill="1" applyAlignment="1" applyProtection="1">
      <alignment horizontal="center"/>
      <protection hidden="1"/>
    </xf>
    <xf numFmtId="0" fontId="32" fillId="9" borderId="28" xfId="5" applyFont="1" applyFill="1" applyBorder="1" applyAlignment="1" applyProtection="1">
      <alignment horizontal="left" vertical="center" wrapText="1"/>
      <protection hidden="1"/>
    </xf>
    <xf numFmtId="0" fontId="48" fillId="9" borderId="28" xfId="5" applyFont="1" applyFill="1" applyBorder="1" applyAlignment="1" applyProtection="1">
      <alignment horizontal="left" vertical="center" wrapText="1"/>
      <protection hidden="1"/>
    </xf>
    <xf numFmtId="0" fontId="30" fillId="9" borderId="35" xfId="0" applyFont="1" applyFill="1" applyBorder="1" applyAlignment="1" applyProtection="1">
      <alignment horizontal="left" vertical="center" wrapText="1"/>
      <protection hidden="1"/>
    </xf>
    <xf numFmtId="0" fontId="56" fillId="9" borderId="41" xfId="0" applyFont="1" applyFill="1" applyBorder="1" applyAlignment="1" applyProtection="1">
      <alignment horizontal="left" vertical="center" wrapText="1"/>
      <protection hidden="1"/>
    </xf>
    <xf numFmtId="0" fontId="56" fillId="9" borderId="42" xfId="0" applyFont="1" applyFill="1" applyBorder="1" applyAlignment="1" applyProtection="1">
      <alignment horizontal="left" vertical="center" wrapText="1"/>
      <protection hidden="1"/>
    </xf>
    <xf numFmtId="0" fontId="56" fillId="9" borderId="43" xfId="0" applyFont="1" applyFill="1" applyBorder="1" applyAlignment="1" applyProtection="1">
      <alignment horizontal="left" vertical="center" wrapText="1"/>
      <protection hidden="1"/>
    </xf>
    <xf numFmtId="0" fontId="56" fillId="9" borderId="34" xfId="0" applyFont="1" applyFill="1" applyBorder="1" applyAlignment="1" applyProtection="1">
      <alignment horizontal="left" vertical="center" wrapText="1"/>
      <protection hidden="1"/>
    </xf>
    <xf numFmtId="0" fontId="56" fillId="9" borderId="44" xfId="0" applyFont="1" applyFill="1" applyBorder="1" applyAlignment="1" applyProtection="1">
      <alignment horizontal="left" vertical="center" wrapText="1"/>
      <protection hidden="1"/>
    </xf>
    <xf numFmtId="0" fontId="35" fillId="9" borderId="28" xfId="0" applyFont="1" applyFill="1" applyBorder="1" applyAlignment="1" applyProtection="1">
      <alignment horizontal="left" vertical="center"/>
      <protection hidden="1"/>
    </xf>
    <xf numFmtId="0" fontId="30" fillId="6" borderId="28" xfId="5" applyFont="1" applyFill="1" applyBorder="1" applyAlignment="1" applyProtection="1">
      <alignment horizontal="left" vertical="center"/>
      <protection hidden="1"/>
    </xf>
    <xf numFmtId="0" fontId="54" fillId="7" borderId="28" xfId="0" applyFont="1" applyFill="1" applyBorder="1" applyAlignment="1" applyProtection="1">
      <alignment horizontal="center" vertical="center" wrapText="1"/>
      <protection hidden="1"/>
    </xf>
    <xf numFmtId="166" fontId="33" fillId="6" borderId="31" xfId="5" applyNumberFormat="1" applyFont="1" applyFill="1" applyBorder="1" applyAlignment="1" applyProtection="1">
      <alignment horizontal="left" vertical="center"/>
      <protection hidden="1"/>
    </xf>
    <xf numFmtId="166" fontId="33" fillId="6" borderId="32" xfId="5" applyNumberFormat="1" applyFont="1" applyFill="1" applyBorder="1" applyAlignment="1" applyProtection="1">
      <alignment horizontal="left" vertical="center"/>
      <protection hidden="1"/>
    </xf>
    <xf numFmtId="166" fontId="33" fillId="6" borderId="33" xfId="5" applyNumberFormat="1" applyFont="1" applyFill="1" applyBorder="1" applyAlignment="1" applyProtection="1">
      <alignment horizontal="left" vertical="center"/>
      <protection hidden="1"/>
    </xf>
    <xf numFmtId="0" fontId="35" fillId="9" borderId="31" xfId="5" applyFont="1" applyFill="1" applyBorder="1" applyAlignment="1" applyProtection="1">
      <alignment horizontal="left" vertical="center"/>
      <protection hidden="1"/>
    </xf>
    <xf numFmtId="0" fontId="35" fillId="9" borderId="33" xfId="5" applyFont="1" applyFill="1" applyBorder="1" applyAlignment="1" applyProtection="1">
      <alignment horizontal="left" vertical="center"/>
      <protection hidden="1"/>
    </xf>
    <xf numFmtId="0" fontId="35" fillId="9" borderId="31" xfId="5" applyFont="1" applyFill="1" applyBorder="1" applyAlignment="1" applyProtection="1">
      <alignment vertical="center"/>
      <protection hidden="1"/>
    </xf>
    <xf numFmtId="0" fontId="35" fillId="9" borderId="33" xfId="5" applyFont="1" applyFill="1" applyBorder="1" applyAlignment="1" applyProtection="1">
      <alignment vertical="center"/>
      <protection hidden="1"/>
    </xf>
    <xf numFmtId="0" fontId="30" fillId="9" borderId="35" xfId="5" applyFont="1" applyFill="1" applyBorder="1" applyAlignment="1" applyProtection="1">
      <alignment vertical="center" wrapText="1"/>
      <protection hidden="1"/>
    </xf>
    <xf numFmtId="0" fontId="30" fillId="9" borderId="29" xfId="5" applyFont="1" applyFill="1" applyBorder="1" applyAlignment="1" applyProtection="1">
      <alignment vertical="center" wrapText="1"/>
      <protection hidden="1"/>
    </xf>
    <xf numFmtId="0" fontId="62" fillId="6" borderId="31" xfId="5" applyFont="1" applyFill="1" applyBorder="1" applyAlignment="1" applyProtection="1">
      <alignment horizontal="center" vertical="center" wrapText="1"/>
      <protection hidden="1"/>
    </xf>
    <xf numFmtId="0" fontId="62" fillId="6" borderId="33" xfId="5" applyFont="1" applyFill="1" applyBorder="1" applyAlignment="1" applyProtection="1">
      <alignment horizontal="center" vertical="center" wrapText="1"/>
      <protection hidden="1"/>
    </xf>
    <xf numFmtId="0" fontId="6" fillId="9" borderId="31" xfId="5" applyFont="1" applyFill="1" applyBorder="1" applyAlignment="1" applyProtection="1">
      <alignment vertical="center" wrapText="1"/>
      <protection hidden="1"/>
    </xf>
    <xf numFmtId="0" fontId="6" fillId="9" borderId="33" xfId="5" applyFont="1" applyFill="1" applyBorder="1" applyAlignment="1" applyProtection="1">
      <alignment vertical="center" wrapText="1"/>
      <protection hidden="1"/>
    </xf>
    <xf numFmtId="0" fontId="11" fillId="4" borderId="0" xfId="0" applyFont="1" applyFill="1" applyBorder="1" applyAlignment="1" applyProtection="1">
      <alignment horizontal="left" vertical="center" wrapText="1"/>
      <protection hidden="1"/>
    </xf>
    <xf numFmtId="0" fontId="0" fillId="4" borderId="0" xfId="0" applyFill="1" applyBorder="1" applyAlignment="1" applyProtection="1">
      <alignment horizontal="left" vertical="center"/>
      <protection hidden="1"/>
    </xf>
    <xf numFmtId="0" fontId="33" fillId="9" borderId="28" xfId="5" applyFont="1" applyFill="1" applyBorder="1" applyAlignment="1" applyProtection="1">
      <alignment horizontal="left" vertical="center" wrapText="1"/>
      <protection hidden="1"/>
    </xf>
    <xf numFmtId="0" fontId="62" fillId="9" borderId="28" xfId="5" applyFont="1" applyFill="1" applyBorder="1" applyAlignment="1" applyProtection="1">
      <alignment horizontal="left" vertical="center" wrapText="1"/>
      <protection hidden="1"/>
    </xf>
    <xf numFmtId="1" fontId="30" fillId="6" borderId="28" xfId="0" applyNumberFormat="1" applyFont="1" applyFill="1" applyBorder="1" applyAlignment="1" applyProtection="1">
      <alignment horizontal="left" vertical="center" wrapText="1"/>
      <protection hidden="1"/>
    </xf>
    <xf numFmtId="0" fontId="33" fillId="6" borderId="28" xfId="5" applyFont="1" applyFill="1" applyBorder="1" applyAlignment="1" applyProtection="1">
      <alignment horizontal="left" vertical="center" wrapText="1"/>
      <protection hidden="1"/>
    </xf>
    <xf numFmtId="0" fontId="35" fillId="9" borderId="31" xfId="0" applyFont="1" applyFill="1" applyBorder="1" applyAlignment="1" applyProtection="1">
      <alignment horizontal="left" vertical="center" wrapText="1"/>
      <protection hidden="1"/>
    </xf>
    <xf numFmtId="0" fontId="35" fillId="9" borderId="32" xfId="0" applyFont="1" applyFill="1" applyBorder="1" applyAlignment="1" applyProtection="1">
      <alignment horizontal="left" vertical="center" wrapText="1"/>
      <protection hidden="1"/>
    </xf>
    <xf numFmtId="0" fontId="35" fillId="9" borderId="33" xfId="0" applyFont="1" applyFill="1" applyBorder="1" applyAlignment="1" applyProtection="1">
      <alignment horizontal="left" vertical="center" wrapText="1"/>
      <protection hidden="1"/>
    </xf>
    <xf numFmtId="0" fontId="52" fillId="4" borderId="0" xfId="6" applyFont="1" applyFill="1" applyBorder="1" applyAlignment="1" applyProtection="1">
      <alignment vertical="top" wrapText="1"/>
      <protection hidden="1"/>
    </xf>
    <xf numFmtId="0" fontId="6" fillId="9" borderId="31" xfId="5" applyFont="1" applyFill="1" applyBorder="1" applyAlignment="1" applyProtection="1">
      <alignment horizontal="left" vertical="center" wrapText="1"/>
      <protection hidden="1"/>
    </xf>
    <xf numFmtId="0" fontId="6" fillId="9" borderId="33" xfId="5" applyFont="1" applyFill="1" applyBorder="1" applyAlignment="1" applyProtection="1">
      <alignment horizontal="left" vertical="center" wrapText="1"/>
      <protection hidden="1"/>
    </xf>
    <xf numFmtId="0" fontId="30" fillId="9" borderId="33" xfId="5" applyFont="1" applyFill="1" applyBorder="1" applyAlignment="1" applyProtection="1">
      <alignment horizontal="left" vertical="center" wrapText="1"/>
      <protection hidden="1"/>
    </xf>
    <xf numFmtId="0" fontId="30" fillId="9" borderId="31" xfId="5" applyFont="1" applyFill="1" applyBorder="1" applyAlignment="1" applyProtection="1">
      <alignment vertical="center"/>
      <protection hidden="1"/>
    </xf>
    <xf numFmtId="0" fontId="30" fillId="9" borderId="33" xfId="5" applyFont="1" applyFill="1" applyBorder="1" applyAlignment="1" applyProtection="1">
      <alignment vertical="center"/>
      <protection hidden="1"/>
    </xf>
    <xf numFmtId="0" fontId="30" fillId="6" borderId="31" xfId="5" applyFont="1" applyFill="1" applyBorder="1" applyAlignment="1" applyProtection="1">
      <alignment horizontal="left" vertical="center"/>
      <protection hidden="1"/>
    </xf>
    <xf numFmtId="0" fontId="30" fillId="6" borderId="32" xfId="5" applyFont="1" applyFill="1" applyBorder="1" applyAlignment="1" applyProtection="1">
      <alignment horizontal="left" vertical="center"/>
      <protection hidden="1"/>
    </xf>
    <xf numFmtId="0" fontId="30" fillId="6" borderId="33" xfId="5" applyFont="1" applyFill="1" applyBorder="1" applyAlignment="1" applyProtection="1">
      <alignment horizontal="left" vertical="center"/>
      <protection hidden="1"/>
    </xf>
    <xf numFmtId="0" fontId="28" fillId="6" borderId="34" xfId="5" applyFont="1" applyFill="1" applyBorder="1" applyAlignment="1" applyProtection="1">
      <alignment horizontal="center" vertical="center"/>
      <protection hidden="1"/>
    </xf>
    <xf numFmtId="0" fontId="28" fillId="6" borderId="30" xfId="5" applyFont="1" applyFill="1" applyBorder="1" applyAlignment="1" applyProtection="1">
      <alignment horizontal="center" vertical="center"/>
      <protection hidden="1"/>
    </xf>
    <xf numFmtId="0" fontId="28" fillId="6" borderId="33" xfId="5" applyFont="1" applyFill="1" applyBorder="1" applyAlignment="1" applyProtection="1">
      <alignment horizontal="center" vertical="center"/>
      <protection hidden="1"/>
    </xf>
    <xf numFmtId="164" fontId="33" fillId="6" borderId="31" xfId="5" applyNumberFormat="1" applyFont="1" applyFill="1" applyBorder="1" applyAlignment="1" applyProtection="1">
      <alignment horizontal="left" vertical="center"/>
      <protection hidden="1"/>
    </xf>
    <xf numFmtId="164" fontId="33" fillId="6" borderId="32" xfId="5" applyNumberFormat="1" applyFont="1" applyFill="1" applyBorder="1" applyAlignment="1" applyProtection="1">
      <alignment horizontal="left" vertical="center"/>
      <protection hidden="1"/>
    </xf>
    <xf numFmtId="164" fontId="33" fillId="6" borderId="33" xfId="5" applyNumberFormat="1" applyFont="1" applyFill="1" applyBorder="1" applyAlignment="1" applyProtection="1">
      <alignment horizontal="left" vertical="center"/>
      <protection hidden="1"/>
    </xf>
    <xf numFmtId="2" fontId="33" fillId="6" borderId="31" xfId="5" applyNumberFormat="1" applyFont="1" applyFill="1" applyBorder="1" applyAlignment="1" applyProtection="1">
      <alignment horizontal="left" vertical="center"/>
      <protection hidden="1"/>
    </xf>
    <xf numFmtId="2" fontId="33" fillId="6" borderId="32" xfId="5" applyNumberFormat="1" applyFont="1" applyFill="1" applyBorder="1" applyAlignment="1" applyProtection="1">
      <alignment horizontal="left" vertical="center"/>
      <protection hidden="1"/>
    </xf>
    <xf numFmtId="2" fontId="33" fillId="6" borderId="33" xfId="5" applyNumberFormat="1" applyFont="1" applyFill="1" applyBorder="1" applyAlignment="1" applyProtection="1">
      <alignment horizontal="left" vertical="center"/>
      <protection hidden="1"/>
    </xf>
    <xf numFmtId="0" fontId="6" fillId="9" borderId="31" xfId="5" applyFont="1" applyFill="1" applyBorder="1" applyAlignment="1" applyProtection="1">
      <alignment vertical="center"/>
      <protection hidden="1"/>
    </xf>
    <xf numFmtId="0" fontId="6" fillId="9" borderId="31" xfId="0" applyFont="1" applyFill="1" applyBorder="1" applyAlignment="1" applyProtection="1">
      <alignment vertical="center"/>
      <protection hidden="1"/>
    </xf>
    <xf numFmtId="0" fontId="6" fillId="9" borderId="33" xfId="0" applyFont="1" applyFill="1" applyBorder="1" applyAlignment="1" applyProtection="1">
      <alignment vertical="center"/>
      <protection hidden="1"/>
    </xf>
    <xf numFmtId="0" fontId="31" fillId="9" borderId="31" xfId="5" applyFont="1" applyFill="1" applyBorder="1" applyAlignment="1" applyProtection="1">
      <alignment vertical="center"/>
      <protection hidden="1"/>
    </xf>
    <xf numFmtId="0" fontId="31" fillId="9" borderId="32" xfId="5" applyFont="1" applyFill="1" applyBorder="1" applyAlignment="1" applyProtection="1">
      <alignment vertical="center"/>
      <protection hidden="1"/>
    </xf>
    <xf numFmtId="0" fontId="31" fillId="9" borderId="33" xfId="5" applyFont="1" applyFill="1" applyBorder="1" applyAlignment="1" applyProtection="1">
      <alignment vertical="center"/>
      <protection hidden="1"/>
    </xf>
    <xf numFmtId="0" fontId="53" fillId="9" borderId="32" xfId="2" applyFont="1" applyFill="1" applyBorder="1" applyAlignment="1" applyProtection="1">
      <alignment vertical="center"/>
      <protection hidden="1"/>
    </xf>
    <xf numFmtId="0" fontId="53" fillId="9" borderId="33" xfId="2" applyFont="1" applyFill="1" applyBorder="1" applyAlignment="1" applyProtection="1">
      <alignment vertical="center"/>
      <protection hidden="1"/>
    </xf>
    <xf numFmtId="0" fontId="33" fillId="9" borderId="31" xfId="5" applyFont="1" applyFill="1" applyBorder="1" applyAlignment="1" applyProtection="1">
      <alignment vertical="center" wrapText="1"/>
      <protection hidden="1"/>
    </xf>
    <xf numFmtId="0" fontId="33" fillId="9" borderId="32" xfId="5" applyFont="1" applyFill="1" applyBorder="1" applyAlignment="1" applyProtection="1">
      <alignment vertical="center" wrapText="1"/>
      <protection hidden="1"/>
    </xf>
    <xf numFmtId="0" fontId="33" fillId="9" borderId="33" xfId="5" applyFont="1" applyFill="1" applyBorder="1" applyAlignment="1" applyProtection="1">
      <alignment vertical="center" wrapText="1"/>
      <protection hidden="1"/>
    </xf>
    <xf numFmtId="0" fontId="35" fillId="6" borderId="28" xfId="5" applyFont="1" applyFill="1" applyBorder="1" applyAlignment="1" applyProtection="1">
      <alignment horizontal="left" vertical="center"/>
      <protection hidden="1"/>
    </xf>
    <xf numFmtId="0" fontId="6" fillId="9" borderId="33" xfId="5" applyFont="1" applyFill="1" applyBorder="1" applyAlignment="1" applyProtection="1">
      <alignment vertical="center"/>
      <protection hidden="1"/>
    </xf>
    <xf numFmtId="0" fontId="56" fillId="9" borderId="31" xfId="0" applyFont="1" applyFill="1" applyBorder="1" applyAlignment="1" applyProtection="1">
      <alignment horizontal="center" wrapText="1"/>
      <protection hidden="1"/>
    </xf>
    <xf numFmtId="0" fontId="56" fillId="9" borderId="32" xfId="0" applyFont="1" applyFill="1" applyBorder="1" applyAlignment="1" applyProtection="1">
      <alignment horizontal="center" wrapText="1"/>
      <protection hidden="1"/>
    </xf>
    <xf numFmtId="0" fontId="56" fillId="9" borderId="33" xfId="0" applyFont="1" applyFill="1" applyBorder="1" applyAlignment="1" applyProtection="1">
      <alignment horizontal="center" wrapText="1"/>
      <protection hidden="1"/>
    </xf>
    <xf numFmtId="0" fontId="6" fillId="9" borderId="31" xfId="0" applyFont="1" applyFill="1" applyBorder="1" applyAlignment="1" applyProtection="1">
      <alignment horizontal="center"/>
      <protection hidden="1"/>
    </xf>
    <xf numFmtId="0" fontId="6" fillId="9" borderId="32" xfId="0" applyFont="1" applyFill="1" applyBorder="1" applyAlignment="1" applyProtection="1">
      <alignment horizontal="center"/>
      <protection hidden="1"/>
    </xf>
    <xf numFmtId="0" fontId="6" fillId="9" borderId="33" xfId="0" applyFont="1" applyFill="1" applyBorder="1" applyAlignment="1" applyProtection="1">
      <alignment horizontal="center"/>
      <protection hidden="1"/>
    </xf>
    <xf numFmtId="0" fontId="6" fillId="6" borderId="28" xfId="0" applyFont="1" applyFill="1" applyBorder="1" applyAlignment="1" applyProtection="1">
      <alignment horizontal="left" vertical="center"/>
      <protection hidden="1"/>
    </xf>
    <xf numFmtId="0" fontId="6" fillId="9" borderId="28" xfId="5" applyFont="1" applyFill="1" applyBorder="1" applyAlignment="1" applyProtection="1">
      <alignment horizontal="center"/>
      <protection hidden="1"/>
    </xf>
    <xf numFmtId="0" fontId="35" fillId="6" borderId="28" xfId="5" applyFont="1" applyFill="1" applyBorder="1" applyAlignment="1" applyProtection="1">
      <alignment horizontal="left" vertical="center" wrapText="1"/>
      <protection hidden="1"/>
    </xf>
    <xf numFmtId="0" fontId="33" fillId="6" borderId="28" xfId="5" applyFont="1" applyFill="1" applyBorder="1" applyAlignment="1" applyProtection="1">
      <alignment horizontal="left" vertical="center"/>
      <protection hidden="1"/>
    </xf>
    <xf numFmtId="0" fontId="30" fillId="9" borderId="28" xfId="0" applyFont="1" applyFill="1" applyBorder="1" applyAlignment="1" applyProtection="1">
      <alignment horizontal="left" vertical="center"/>
      <protection hidden="1"/>
    </xf>
    <xf numFmtId="0" fontId="41" fillId="4" borderId="30" xfId="0" applyFont="1" applyFill="1" applyBorder="1" applyAlignment="1" applyProtection="1">
      <alignment horizontal="center" vertical="top"/>
      <protection hidden="1"/>
    </xf>
    <xf numFmtId="0" fontId="68" fillId="4" borderId="0" xfId="4" applyFont="1" applyFill="1" applyBorder="1" applyAlignment="1" applyProtection="1">
      <alignment horizontal="center" vertical="center"/>
      <protection hidden="1"/>
    </xf>
    <xf numFmtId="0" fontId="69" fillId="4" borderId="0" xfId="4" applyFont="1" applyFill="1" applyBorder="1" applyAlignment="1" applyProtection="1">
      <alignment horizontal="center" vertical="center"/>
      <protection hidden="1"/>
    </xf>
    <xf numFmtId="0" fontId="2" fillId="4" borderId="0" xfId="4" applyFont="1" applyFill="1" applyBorder="1" applyAlignment="1" applyProtection="1">
      <alignment horizontal="center" vertical="center" wrapText="1"/>
      <protection hidden="1"/>
    </xf>
    <xf numFmtId="0" fontId="72" fillId="4" borderId="0" xfId="4" applyFont="1" applyFill="1" applyBorder="1" applyAlignment="1" applyProtection="1">
      <alignment horizontal="center" vertical="center" wrapText="1"/>
      <protection hidden="1"/>
    </xf>
    <xf numFmtId="0" fontId="30" fillId="9" borderId="31" xfId="0" applyFont="1" applyFill="1" applyBorder="1" applyAlignment="1" applyProtection="1">
      <alignment horizontal="left" vertical="center"/>
      <protection hidden="1"/>
    </xf>
    <xf numFmtId="0" fontId="30" fillId="9" borderId="32" xfId="0" applyFont="1" applyFill="1" applyBorder="1" applyAlignment="1" applyProtection="1">
      <alignment horizontal="left" vertical="center"/>
      <protection hidden="1"/>
    </xf>
    <xf numFmtId="0" fontId="30" fillId="9" borderId="33" xfId="0" applyFont="1" applyFill="1" applyBorder="1" applyAlignment="1" applyProtection="1">
      <alignment horizontal="left" vertical="center"/>
      <protection hidden="1"/>
    </xf>
    <xf numFmtId="0" fontId="12" fillId="9" borderId="28" xfId="0" applyFont="1" applyFill="1" applyBorder="1" applyAlignment="1" applyProtection="1">
      <alignment horizontal="center" vertical="center"/>
      <protection hidden="1"/>
    </xf>
    <xf numFmtId="0" fontId="11" fillId="4" borderId="0" xfId="0" applyFont="1" applyFill="1" applyAlignment="1" applyProtection="1">
      <alignment horizontal="center"/>
      <protection hidden="1"/>
    </xf>
    <xf numFmtId="0" fontId="28" fillId="4" borderId="0" xfId="0" applyFont="1" applyFill="1" applyAlignment="1" applyProtection="1">
      <alignment horizontal="center"/>
      <protection hidden="1"/>
    </xf>
    <xf numFmtId="0" fontId="41" fillId="4" borderId="0" xfId="0" applyFont="1" applyFill="1" applyAlignment="1" applyProtection="1">
      <alignment horizontal="center"/>
      <protection hidden="1"/>
    </xf>
    <xf numFmtId="0" fontId="27" fillId="4" borderId="0" xfId="4" applyFont="1" applyFill="1" applyBorder="1" applyAlignment="1" applyProtection="1">
      <alignment horizontal="left" vertical="top" wrapText="1"/>
      <protection hidden="1"/>
    </xf>
    <xf numFmtId="0" fontId="11" fillId="4" borderId="0" xfId="0" applyFont="1" applyFill="1" applyAlignment="1" applyProtection="1">
      <alignment horizontal="center" vertical="center"/>
      <protection hidden="1"/>
    </xf>
    <xf numFmtId="0" fontId="0" fillId="0" borderId="0" xfId="0" applyAlignment="1">
      <alignment horizontal="center" vertical="center" wrapText="1"/>
    </xf>
    <xf numFmtId="0" fontId="12" fillId="9" borderId="39" xfId="0" applyFont="1" applyFill="1" applyBorder="1" applyAlignment="1" applyProtection="1">
      <alignment horizontal="center" vertical="center"/>
      <protection hidden="1"/>
    </xf>
    <xf numFmtId="0" fontId="12" fillId="9" borderId="40" xfId="0" applyFont="1" applyFill="1" applyBorder="1" applyAlignment="1" applyProtection="1">
      <alignment horizontal="center" vertical="center"/>
      <protection hidden="1"/>
    </xf>
    <xf numFmtId="0" fontId="12" fillId="9" borderId="36" xfId="0" applyFont="1" applyFill="1" applyBorder="1" applyAlignment="1" applyProtection="1">
      <alignment horizontal="center" vertical="center"/>
      <protection hidden="1"/>
    </xf>
    <xf numFmtId="0" fontId="40" fillId="4" borderId="2" xfId="4" applyFont="1" applyFill="1" applyBorder="1" applyAlignment="1" applyProtection="1">
      <alignment vertical="center" wrapText="1"/>
      <protection hidden="1"/>
    </xf>
    <xf numFmtId="0" fontId="15" fillId="4" borderId="2" xfId="0" applyFont="1" applyFill="1" applyBorder="1" applyAlignment="1" applyProtection="1">
      <alignment vertical="center"/>
      <protection hidden="1"/>
    </xf>
    <xf numFmtId="0" fontId="40" fillId="4" borderId="4" xfId="4" applyFont="1" applyFill="1" applyBorder="1" applyAlignment="1" applyProtection="1">
      <alignment vertical="center" wrapText="1"/>
      <protection hidden="1"/>
    </xf>
    <xf numFmtId="0" fontId="40" fillId="4" borderId="18" xfId="4" applyFont="1" applyFill="1" applyBorder="1" applyAlignment="1" applyProtection="1">
      <alignment vertical="center" wrapText="1"/>
      <protection hidden="1"/>
    </xf>
    <xf numFmtId="0" fontId="40" fillId="4" borderId="19" xfId="4" applyFont="1" applyFill="1" applyBorder="1" applyAlignment="1" applyProtection="1">
      <alignment vertical="center" wrapText="1"/>
      <protection hidden="1"/>
    </xf>
    <xf numFmtId="0" fontId="38" fillId="4" borderId="2" xfId="0" applyFont="1" applyFill="1" applyBorder="1" applyAlignment="1" applyProtection="1">
      <alignment horizontal="left" vertical="center" wrapText="1"/>
      <protection hidden="1"/>
    </xf>
    <xf numFmtId="0" fontId="15" fillId="4" borderId="2" xfId="0" applyFont="1" applyFill="1" applyBorder="1" applyAlignment="1" applyProtection="1">
      <alignment horizontal="left" vertical="center"/>
      <protection hidden="1"/>
    </xf>
    <xf numFmtId="0" fontId="40" fillId="8" borderId="7" xfId="4" applyFont="1" applyFill="1" applyBorder="1" applyAlignment="1" applyProtection="1">
      <alignment horizontal="left" vertical="center" wrapText="1"/>
      <protection hidden="1"/>
    </xf>
    <xf numFmtId="0" fontId="0" fillId="8" borderId="2" xfId="0" applyFill="1" applyBorder="1" applyAlignment="1" applyProtection="1">
      <alignment vertical="center" wrapText="1"/>
      <protection hidden="1"/>
    </xf>
    <xf numFmtId="0" fontId="0" fillId="8" borderId="4" xfId="0" applyFill="1" applyBorder="1" applyAlignment="1" applyProtection="1">
      <alignment vertical="center" wrapText="1"/>
      <protection hidden="1"/>
    </xf>
    <xf numFmtId="0" fontId="55" fillId="0" borderId="0" xfId="0" applyFont="1" applyAlignment="1">
      <alignment horizontal="center" vertical="center"/>
    </xf>
    <xf numFmtId="0" fontId="40" fillId="8" borderId="8" xfId="4" applyFont="1" applyFill="1" applyBorder="1" applyAlignment="1" applyProtection="1">
      <alignment horizontal="left" vertical="center" wrapText="1"/>
      <protection hidden="1"/>
    </xf>
    <xf numFmtId="0" fontId="0" fillId="8" borderId="9" xfId="0" applyFill="1" applyBorder="1" applyAlignment="1" applyProtection="1">
      <alignment vertical="center" wrapText="1"/>
      <protection hidden="1"/>
    </xf>
    <xf numFmtId="0" fontId="0" fillId="8" borderId="27" xfId="0" applyFill="1" applyBorder="1" applyAlignment="1" applyProtection="1">
      <alignment vertical="center" wrapText="1"/>
      <protection hidden="1"/>
    </xf>
    <xf numFmtId="0" fontId="40" fillId="8" borderId="2" xfId="4" applyFont="1" applyFill="1" applyBorder="1" applyAlignment="1" applyProtection="1">
      <alignment horizontal="left" vertical="center" wrapText="1"/>
      <protection hidden="1"/>
    </xf>
    <xf numFmtId="0" fontId="40" fillId="8" borderId="4" xfId="4" applyFont="1" applyFill="1" applyBorder="1" applyAlignment="1" applyProtection="1">
      <alignment horizontal="left" vertical="center" wrapText="1"/>
      <protection hidden="1"/>
    </xf>
    <xf numFmtId="0" fontId="40" fillId="8" borderId="37" xfId="4" applyFont="1" applyFill="1" applyBorder="1" applyAlignment="1" applyProtection="1">
      <alignment horizontal="left" vertical="center" wrapText="1"/>
      <protection hidden="1"/>
    </xf>
    <xf numFmtId="0" fontId="40" fillId="8" borderId="18" xfId="4" applyFont="1" applyFill="1" applyBorder="1" applyAlignment="1" applyProtection="1">
      <alignment horizontal="left" vertical="center" wrapText="1"/>
      <protection hidden="1"/>
    </xf>
  </cellXfs>
  <cellStyles count="7">
    <cellStyle name="Good" xfId="1" builtinId="26"/>
    <cellStyle name="Hyperlink" xfId="2" builtinId="8"/>
    <cellStyle name="Hyperlink 2" xfId="3" xr:uid="{00000000-0005-0000-0000-000002000000}"/>
    <cellStyle name="Normal" xfId="0" builtinId="0"/>
    <cellStyle name="Normal 2" xfId="4" xr:uid="{00000000-0005-0000-0000-000004000000}"/>
    <cellStyle name="Normal 3" xfId="5" xr:uid="{00000000-0005-0000-0000-000005000000}"/>
    <cellStyle name="Normal_verific2" xfId="6" xr:uid="{00000000-0005-0000-0000-000006000000}"/>
  </cellStyles>
  <dxfs count="12">
    <dxf>
      <font>
        <color theme="1"/>
      </font>
      <fill>
        <patternFill>
          <bgColor theme="9"/>
        </patternFill>
      </fill>
    </dxf>
    <dxf>
      <font>
        <color theme="1"/>
      </font>
      <fill>
        <patternFill>
          <bgColor theme="9"/>
        </patternFill>
      </fill>
    </dxf>
    <dxf>
      <font>
        <color theme="1"/>
      </font>
      <fill>
        <patternFill>
          <bgColor theme="9"/>
        </patternFill>
      </fill>
    </dxf>
    <dxf>
      <font>
        <color theme="1"/>
      </font>
      <fill>
        <patternFill>
          <bgColor theme="9"/>
        </patternFill>
      </fill>
    </dxf>
    <dxf>
      <fill>
        <patternFill>
          <bgColor theme="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1"/>
      </font>
      <fill>
        <patternFill>
          <bgColor theme="9"/>
        </patternFill>
      </fill>
    </dxf>
    <dxf>
      <font>
        <color theme="1"/>
      </font>
      <fill>
        <patternFill>
          <bgColor theme="9"/>
        </patternFill>
      </fill>
    </dxf>
    <dxf>
      <font>
        <color theme="1"/>
      </font>
      <fill>
        <patternFill>
          <bgColor theme="9"/>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hyperlink" Target="#'EERS data entry methods 2 &amp;3'!A1"/><Relationship Id="rId2" Type="http://schemas.openxmlformats.org/officeDocument/2006/relationships/hyperlink" Target="#'EERS data entry method 1'!A1"/><Relationship Id="rId1" Type="http://schemas.openxmlformats.org/officeDocument/2006/relationships/hyperlink" Target="#'Facility input'!A1"/><Relationship Id="rId4"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hyperlink" Target="#Menu!A1"/><Relationship Id="rId4" Type="http://schemas.openxmlformats.org/officeDocument/2006/relationships/image" Target="../media/image1.jpg"/></Relationships>
</file>

<file path=xl/drawings/_rels/drawing5.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hyperlink" Target="#Menu!A1"/><Relationship Id="rId4" Type="http://schemas.openxmlformats.org/officeDocument/2006/relationships/image" Target="../media/image1.jpg"/></Relationships>
</file>

<file path=xl/drawings/_rels/drawing6.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cid:image005.jpg@01CB71E0.D8ACFE20" TargetMode="External"/><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180975</xdr:rowOff>
    </xdr:from>
    <xdr:to>
      <xdr:col>1</xdr:col>
      <xdr:colOff>8870696</xdr:colOff>
      <xdr:row>0</xdr:row>
      <xdr:rowOff>1345565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180975"/>
          <a:ext cx="8845296" cy="1158240"/>
        </a:xfrm>
        <a:prstGeom prst="rect">
          <a:avLst/>
        </a:prstGeom>
      </xdr:spPr>
    </xdr:pic>
    <xdr:clientData/>
  </xdr:twoCellAnchor>
  <xdr:twoCellAnchor>
    <xdr:from>
      <xdr:col>1</xdr:col>
      <xdr:colOff>3716302</xdr:colOff>
      <xdr:row>3</xdr:row>
      <xdr:rowOff>182237</xdr:rowOff>
    </xdr:from>
    <xdr:to>
      <xdr:col>1</xdr:col>
      <xdr:colOff>5600134</xdr:colOff>
      <xdr:row>3</xdr:row>
      <xdr:rowOff>460197</xdr:rowOff>
    </xdr:to>
    <xdr:sp macro="" textlink="">
      <xdr:nvSpPr>
        <xdr:cNvPr id="5" name="Rectangle 4">
          <a:hlinkClick xmlns:r="http://schemas.openxmlformats.org/officeDocument/2006/relationships" r:id="rId2"/>
          <a:extLst>
            <a:ext uri="{FF2B5EF4-FFF2-40B4-BE49-F238E27FC236}">
              <a16:creationId xmlns:a16="http://schemas.microsoft.com/office/drawing/2014/main" id="{00000000-0008-0000-0000-000005000000}"/>
            </a:ext>
          </a:extLst>
        </xdr:cNvPr>
        <xdr:cNvSpPr/>
      </xdr:nvSpPr>
      <xdr:spPr>
        <a:xfrm>
          <a:off x="4030627" y="7278362"/>
          <a:ext cx="1883832" cy="277960"/>
        </a:xfrm>
        <a:prstGeom prst="rect">
          <a:avLst/>
        </a:prstGeom>
        <a:solidFill>
          <a:schemeClr val="accent1"/>
        </a:solidFill>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400"/>
            <a:t>I agree - continue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76701</xdr:colOff>
      <xdr:row>4</xdr:row>
      <xdr:rowOff>18548</xdr:rowOff>
    </xdr:from>
    <xdr:to>
      <xdr:col>1</xdr:col>
      <xdr:colOff>2658478</xdr:colOff>
      <xdr:row>4</xdr:row>
      <xdr:rowOff>361449</xdr:rowOff>
    </xdr:to>
    <xdr:sp macro="" textlink="">
      <xdr:nvSpPr>
        <xdr:cNvPr id="5" name="Rectangle 4">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a:xfrm>
          <a:off x="1000626" y="2942723"/>
          <a:ext cx="2581777" cy="342901"/>
        </a:xfrm>
        <a:prstGeom prst="rect">
          <a:avLst/>
        </a:prstGeom>
        <a:solidFill>
          <a:schemeClr val="accent1"/>
        </a:solidFill>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400"/>
            <a:t>Enter data</a:t>
          </a:r>
        </a:p>
      </xdr:txBody>
    </xdr:sp>
    <xdr:clientData/>
  </xdr:twoCellAnchor>
  <xdr:twoCellAnchor>
    <xdr:from>
      <xdr:col>1</xdr:col>
      <xdr:colOff>77202</xdr:colOff>
      <xdr:row>5</xdr:row>
      <xdr:rowOff>19050</xdr:rowOff>
    </xdr:from>
    <xdr:to>
      <xdr:col>1</xdr:col>
      <xdr:colOff>2658979</xdr:colOff>
      <xdr:row>5</xdr:row>
      <xdr:rowOff>361951</xdr:rowOff>
    </xdr:to>
    <xdr:sp macro="" textlink="">
      <xdr:nvSpPr>
        <xdr:cNvPr id="6" name="Rectangle 5">
          <a:hlinkClick xmlns:r="http://schemas.openxmlformats.org/officeDocument/2006/relationships" r:id="rId2"/>
          <a:extLst>
            <a:ext uri="{FF2B5EF4-FFF2-40B4-BE49-F238E27FC236}">
              <a16:creationId xmlns:a16="http://schemas.microsoft.com/office/drawing/2014/main" id="{00000000-0008-0000-0100-000006000000}"/>
            </a:ext>
          </a:extLst>
        </xdr:cNvPr>
        <xdr:cNvSpPr/>
      </xdr:nvSpPr>
      <xdr:spPr>
        <a:xfrm>
          <a:off x="1001127" y="3324225"/>
          <a:ext cx="2581777" cy="342901"/>
        </a:xfrm>
        <a:prstGeom prst="rect">
          <a:avLst/>
        </a:prstGeom>
        <a:solidFill>
          <a:schemeClr val="accent1"/>
        </a:solidFill>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400"/>
            <a:t>View method 1 output</a:t>
          </a:r>
        </a:p>
      </xdr:txBody>
    </xdr:sp>
    <xdr:clientData/>
  </xdr:twoCellAnchor>
  <xdr:twoCellAnchor>
    <xdr:from>
      <xdr:col>1</xdr:col>
      <xdr:colOff>77202</xdr:colOff>
      <xdr:row>6</xdr:row>
      <xdr:rowOff>23562</xdr:rowOff>
    </xdr:from>
    <xdr:to>
      <xdr:col>1</xdr:col>
      <xdr:colOff>2658978</xdr:colOff>
      <xdr:row>6</xdr:row>
      <xdr:rowOff>366463</xdr:rowOff>
    </xdr:to>
    <xdr:sp macro="" textlink="">
      <xdr:nvSpPr>
        <xdr:cNvPr id="7" name="Rectangle 6">
          <a:hlinkClick xmlns:r="http://schemas.openxmlformats.org/officeDocument/2006/relationships" r:id="rId3"/>
          <a:extLst>
            <a:ext uri="{FF2B5EF4-FFF2-40B4-BE49-F238E27FC236}">
              <a16:creationId xmlns:a16="http://schemas.microsoft.com/office/drawing/2014/main" id="{00000000-0008-0000-0100-000007000000}"/>
            </a:ext>
          </a:extLst>
        </xdr:cNvPr>
        <xdr:cNvSpPr/>
      </xdr:nvSpPr>
      <xdr:spPr>
        <a:xfrm>
          <a:off x="1001127" y="3709737"/>
          <a:ext cx="2581776" cy="342901"/>
        </a:xfrm>
        <a:prstGeom prst="rect">
          <a:avLst/>
        </a:prstGeom>
        <a:solidFill>
          <a:schemeClr val="accent1"/>
        </a:solidFill>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400"/>
            <a:t>View method 2/3 output</a:t>
          </a:r>
        </a:p>
      </xdr:txBody>
    </xdr:sp>
    <xdr:clientData/>
  </xdr:twoCellAnchor>
  <xdr:twoCellAnchor editAs="oneCell">
    <xdr:from>
      <xdr:col>0</xdr:col>
      <xdr:colOff>914400</xdr:colOff>
      <xdr:row>0</xdr:row>
      <xdr:rowOff>142875</xdr:rowOff>
    </xdr:from>
    <xdr:to>
      <xdr:col>3</xdr:col>
      <xdr:colOff>0</xdr:colOff>
      <xdr:row>0</xdr:row>
      <xdr:rowOff>1301115</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14400" y="142875"/>
          <a:ext cx="7715250" cy="11582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317499</xdr:colOff>
      <xdr:row>0</xdr:row>
      <xdr:rowOff>95250</xdr:rowOff>
    </xdr:from>
    <xdr:to>
      <xdr:col>4</xdr:col>
      <xdr:colOff>630511</xdr:colOff>
      <xdr:row>2</xdr:row>
      <xdr:rowOff>12065</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499" y="95250"/>
          <a:ext cx="8843179" cy="1158240"/>
        </a:xfrm>
        <a:prstGeom prst="rect">
          <a:avLst/>
        </a:prstGeom>
      </xdr:spPr>
    </xdr:pic>
    <xdr:clientData/>
  </xdr:twoCellAnchor>
  <xdr:twoCellAnchor>
    <xdr:from>
      <xdr:col>1</xdr:col>
      <xdr:colOff>0</xdr:colOff>
      <xdr:row>2</xdr:row>
      <xdr:rowOff>63500</xdr:rowOff>
    </xdr:from>
    <xdr:to>
      <xdr:col>1</xdr:col>
      <xdr:colOff>1174751</xdr:colOff>
      <xdr:row>3</xdr:row>
      <xdr:rowOff>30692</xdr:rowOff>
    </xdr:to>
    <xdr:sp macro="" textlink="">
      <xdr:nvSpPr>
        <xdr:cNvPr id="5" name="Rectangle 4">
          <a:hlinkClick xmlns:r="http://schemas.openxmlformats.org/officeDocument/2006/relationships" r:id="rId2"/>
          <a:extLst>
            <a:ext uri="{FF2B5EF4-FFF2-40B4-BE49-F238E27FC236}">
              <a16:creationId xmlns:a16="http://schemas.microsoft.com/office/drawing/2014/main" id="{00000000-0008-0000-0200-000005000000}"/>
            </a:ext>
          </a:extLst>
        </xdr:cNvPr>
        <xdr:cNvSpPr/>
      </xdr:nvSpPr>
      <xdr:spPr>
        <a:xfrm>
          <a:off x="317500" y="1301750"/>
          <a:ext cx="1174751" cy="348192"/>
        </a:xfrm>
        <a:prstGeom prst="rect">
          <a:avLst/>
        </a:prstGeom>
        <a:gradFill>
          <a:gsLst>
            <a:gs pos="0">
              <a:schemeClr val="accent2"/>
            </a:gs>
            <a:gs pos="80000">
              <a:schemeClr val="accent2"/>
            </a:gs>
            <a:gs pos="100000">
              <a:schemeClr val="accent2"/>
            </a:gs>
          </a:gsLst>
          <a:lin ang="16200000" scaled="0"/>
        </a:gra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600"/>
            <a:t>Menu</a:t>
          </a:r>
        </a:p>
      </xdr:txBody>
    </xdr:sp>
    <xdr:clientData/>
  </xdr:twoCellAnchor>
  <xdr:twoCellAnchor>
    <xdr:from>
      <xdr:col>1</xdr:col>
      <xdr:colOff>95250</xdr:colOff>
      <xdr:row>52</xdr:row>
      <xdr:rowOff>116416</xdr:rowOff>
    </xdr:from>
    <xdr:to>
      <xdr:col>1</xdr:col>
      <xdr:colOff>1270001</xdr:colOff>
      <xdr:row>52</xdr:row>
      <xdr:rowOff>464608</xdr:rowOff>
    </xdr:to>
    <xdr:sp macro="" textlink="">
      <xdr:nvSpPr>
        <xdr:cNvPr id="6" name="Rectangle 5">
          <a:hlinkClick xmlns:r="http://schemas.openxmlformats.org/officeDocument/2006/relationships" r:id="rId2"/>
          <a:extLst>
            <a:ext uri="{FF2B5EF4-FFF2-40B4-BE49-F238E27FC236}">
              <a16:creationId xmlns:a16="http://schemas.microsoft.com/office/drawing/2014/main" id="{00000000-0008-0000-0200-000006000000}"/>
            </a:ext>
          </a:extLst>
        </xdr:cNvPr>
        <xdr:cNvSpPr/>
      </xdr:nvSpPr>
      <xdr:spPr>
        <a:xfrm>
          <a:off x="95250" y="16785166"/>
          <a:ext cx="1174751" cy="348192"/>
        </a:xfrm>
        <a:prstGeom prst="rect">
          <a:avLst/>
        </a:prstGeom>
        <a:gradFill>
          <a:gsLst>
            <a:gs pos="0">
              <a:schemeClr val="accent2"/>
            </a:gs>
            <a:gs pos="80000">
              <a:schemeClr val="accent2"/>
            </a:gs>
            <a:gs pos="100000">
              <a:schemeClr val="accent2"/>
            </a:gs>
          </a:gsLst>
          <a:lin ang="16200000" scaled="0"/>
        </a:gra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600"/>
            <a:t>Menu</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xdr:colOff>
      <xdr:row>6</xdr:row>
      <xdr:rowOff>0</xdr:rowOff>
    </xdr:from>
    <xdr:to>
      <xdr:col>14</xdr:col>
      <xdr:colOff>624417</xdr:colOff>
      <xdr:row>26</xdr:row>
      <xdr:rowOff>88706</xdr:rowOff>
    </xdr:to>
    <xdr:pic>
      <xdr:nvPicPr>
        <xdr:cNvPr id="230337" name="Picture 8">
          <a:extLst>
            <a:ext uri="{FF2B5EF4-FFF2-40B4-BE49-F238E27FC236}">
              <a16:creationId xmlns:a16="http://schemas.microsoft.com/office/drawing/2014/main" id="{00000000-0008-0000-0300-0000C18303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5584" y="2995083"/>
          <a:ext cx="9017000" cy="3263706"/>
        </a:xfrm>
        <a:prstGeom prst="rect">
          <a:avLst/>
        </a:prstGeom>
        <a:noFill/>
        <a:ln w="9525">
          <a:solidFill>
            <a:schemeClr val="bg1">
              <a:lumMod val="65000"/>
            </a:schemeClr>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xdr:colOff>
      <xdr:row>29</xdr:row>
      <xdr:rowOff>0</xdr:rowOff>
    </xdr:from>
    <xdr:to>
      <xdr:col>14</xdr:col>
      <xdr:colOff>635001</xdr:colOff>
      <xdr:row>34</xdr:row>
      <xdr:rowOff>68445</xdr:rowOff>
    </xdr:to>
    <xdr:pic>
      <xdr:nvPicPr>
        <xdr:cNvPr id="230338" name="Picture 9">
          <a:extLst>
            <a:ext uri="{FF2B5EF4-FFF2-40B4-BE49-F238E27FC236}">
              <a16:creationId xmlns:a16="http://schemas.microsoft.com/office/drawing/2014/main" id="{00000000-0008-0000-0300-0000C28303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5584" y="7842250"/>
          <a:ext cx="9027584" cy="862195"/>
        </a:xfrm>
        <a:prstGeom prst="rect">
          <a:avLst/>
        </a:prstGeom>
        <a:noFill/>
        <a:ln w="9525">
          <a:solidFill>
            <a:schemeClr val="bg1">
              <a:lumMod val="65000"/>
            </a:schemeClr>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59</xdr:row>
      <xdr:rowOff>1</xdr:rowOff>
    </xdr:from>
    <xdr:to>
      <xdr:col>15</xdr:col>
      <xdr:colOff>0</xdr:colOff>
      <xdr:row>65</xdr:row>
      <xdr:rowOff>84667</xdr:rowOff>
    </xdr:to>
    <xdr:pic>
      <xdr:nvPicPr>
        <xdr:cNvPr id="230339" name="Picture 2">
          <a:extLst>
            <a:ext uri="{FF2B5EF4-FFF2-40B4-BE49-F238E27FC236}">
              <a16:creationId xmlns:a16="http://schemas.microsoft.com/office/drawing/2014/main" id="{00000000-0008-0000-0300-0000C38303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5583" y="16118418"/>
          <a:ext cx="9038167" cy="2370666"/>
        </a:xfrm>
        <a:prstGeom prst="rect">
          <a:avLst/>
        </a:prstGeom>
        <a:noFill/>
        <a:ln w="9525">
          <a:solidFill>
            <a:schemeClr val="bg1">
              <a:lumMod val="65000"/>
            </a:schemeClr>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635000</xdr:colOff>
      <xdr:row>0</xdr:row>
      <xdr:rowOff>84666</xdr:rowOff>
    </xdr:from>
    <xdr:to>
      <xdr:col>14</xdr:col>
      <xdr:colOff>647115</xdr:colOff>
      <xdr:row>0</xdr:row>
      <xdr:rowOff>1275291</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35000" y="84666"/>
          <a:ext cx="9060865" cy="1190625"/>
        </a:xfrm>
        <a:prstGeom prst="rect">
          <a:avLst/>
        </a:prstGeom>
      </xdr:spPr>
    </xdr:pic>
    <xdr:clientData/>
  </xdr:twoCellAnchor>
  <xdr:twoCellAnchor>
    <xdr:from>
      <xdr:col>0</xdr:col>
      <xdr:colOff>634999</xdr:colOff>
      <xdr:row>0</xdr:row>
      <xdr:rowOff>1322916</xdr:rowOff>
    </xdr:from>
    <xdr:to>
      <xdr:col>2</xdr:col>
      <xdr:colOff>516467</xdr:colOff>
      <xdr:row>0</xdr:row>
      <xdr:rowOff>1675342</xdr:rowOff>
    </xdr:to>
    <xdr:sp macro="" textlink="">
      <xdr:nvSpPr>
        <xdr:cNvPr id="6" name="Rectangle 5">
          <a:hlinkClick xmlns:r="http://schemas.openxmlformats.org/officeDocument/2006/relationships" r:id="rId5"/>
          <a:extLst>
            <a:ext uri="{FF2B5EF4-FFF2-40B4-BE49-F238E27FC236}">
              <a16:creationId xmlns:a16="http://schemas.microsoft.com/office/drawing/2014/main" id="{00000000-0008-0000-0300-000006000000}"/>
            </a:ext>
          </a:extLst>
        </xdr:cNvPr>
        <xdr:cNvSpPr/>
      </xdr:nvSpPr>
      <xdr:spPr>
        <a:xfrm>
          <a:off x="634999" y="1322916"/>
          <a:ext cx="1172635" cy="352426"/>
        </a:xfrm>
        <a:prstGeom prst="rect">
          <a:avLst/>
        </a:prstGeom>
        <a:gradFill>
          <a:gsLst>
            <a:gs pos="0">
              <a:schemeClr val="accent2"/>
            </a:gs>
            <a:gs pos="80000">
              <a:schemeClr val="accent2"/>
            </a:gs>
            <a:gs pos="100000">
              <a:schemeClr val="accent2"/>
            </a:gs>
          </a:gsLst>
          <a:lin ang="16200000" scaled="0"/>
        </a:gra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600"/>
            <a:t>Menu</a:t>
          </a:r>
        </a:p>
      </xdr:txBody>
    </xdr:sp>
    <xdr:clientData/>
  </xdr:twoCellAnchor>
  <xdr:twoCellAnchor>
    <xdr:from>
      <xdr:col>1</xdr:col>
      <xdr:colOff>0</xdr:colOff>
      <xdr:row>69</xdr:row>
      <xdr:rowOff>0</xdr:rowOff>
    </xdr:from>
    <xdr:to>
      <xdr:col>2</xdr:col>
      <xdr:colOff>527051</xdr:colOff>
      <xdr:row>69</xdr:row>
      <xdr:rowOff>352426</xdr:rowOff>
    </xdr:to>
    <xdr:sp macro="" textlink="">
      <xdr:nvSpPr>
        <xdr:cNvPr id="9" name="Rectangle 8">
          <a:hlinkClick xmlns:r="http://schemas.openxmlformats.org/officeDocument/2006/relationships" r:id="rId5"/>
          <a:extLst>
            <a:ext uri="{FF2B5EF4-FFF2-40B4-BE49-F238E27FC236}">
              <a16:creationId xmlns:a16="http://schemas.microsoft.com/office/drawing/2014/main" id="{00000000-0008-0000-0300-000009000000}"/>
            </a:ext>
          </a:extLst>
        </xdr:cNvPr>
        <xdr:cNvSpPr/>
      </xdr:nvSpPr>
      <xdr:spPr>
        <a:xfrm>
          <a:off x="645583" y="18785417"/>
          <a:ext cx="1172635" cy="352426"/>
        </a:xfrm>
        <a:prstGeom prst="rect">
          <a:avLst/>
        </a:prstGeom>
        <a:gradFill>
          <a:gsLst>
            <a:gs pos="0">
              <a:schemeClr val="accent2"/>
            </a:gs>
            <a:gs pos="80000">
              <a:schemeClr val="accent2"/>
            </a:gs>
            <a:gs pos="100000">
              <a:schemeClr val="accent2"/>
            </a:gs>
          </a:gsLst>
          <a:lin ang="16200000" scaled="0"/>
        </a:gra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600"/>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8</xdr:row>
      <xdr:rowOff>0</xdr:rowOff>
    </xdr:from>
    <xdr:to>
      <xdr:col>15</xdr:col>
      <xdr:colOff>31750</xdr:colOff>
      <xdr:row>28</xdr:row>
      <xdr:rowOff>150345</xdr:rowOff>
    </xdr:to>
    <xdr:pic>
      <xdr:nvPicPr>
        <xdr:cNvPr id="232381" name="Picture 2">
          <a:extLst>
            <a:ext uri="{FF2B5EF4-FFF2-40B4-BE49-F238E27FC236}">
              <a16:creationId xmlns:a16="http://schemas.microsoft.com/office/drawing/2014/main" id="{00000000-0008-0000-0400-0000BD8B03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5583" y="2995083"/>
          <a:ext cx="9069917" cy="3325345"/>
        </a:xfrm>
        <a:prstGeom prst="rect">
          <a:avLst/>
        </a:prstGeom>
        <a:noFill/>
        <a:ln w="9525">
          <a:solidFill>
            <a:schemeClr val="bg1">
              <a:lumMod val="65000"/>
            </a:schemeClr>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32</xdr:row>
      <xdr:rowOff>0</xdr:rowOff>
    </xdr:from>
    <xdr:to>
      <xdr:col>15</xdr:col>
      <xdr:colOff>63500</xdr:colOff>
      <xdr:row>37</xdr:row>
      <xdr:rowOff>88412</xdr:rowOff>
    </xdr:to>
    <xdr:pic>
      <xdr:nvPicPr>
        <xdr:cNvPr id="232382" name="Picture 3">
          <a:extLst>
            <a:ext uri="{FF2B5EF4-FFF2-40B4-BE49-F238E27FC236}">
              <a16:creationId xmlns:a16="http://schemas.microsoft.com/office/drawing/2014/main" id="{00000000-0008-0000-0400-0000BE8B03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5583" y="7842250"/>
          <a:ext cx="9101667" cy="882162"/>
        </a:xfrm>
        <a:prstGeom prst="rect">
          <a:avLst/>
        </a:prstGeom>
        <a:noFill/>
        <a:ln w="9525">
          <a:solidFill>
            <a:schemeClr val="bg1">
              <a:lumMod val="65000"/>
            </a:schemeClr>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592667</xdr:colOff>
      <xdr:row>64</xdr:row>
      <xdr:rowOff>95250</xdr:rowOff>
    </xdr:from>
    <xdr:to>
      <xdr:col>14</xdr:col>
      <xdr:colOff>613834</xdr:colOff>
      <xdr:row>71</xdr:row>
      <xdr:rowOff>201084</xdr:rowOff>
    </xdr:to>
    <xdr:pic>
      <xdr:nvPicPr>
        <xdr:cNvPr id="232383" name="Picture 1">
          <a:extLst>
            <a:ext uri="{FF2B5EF4-FFF2-40B4-BE49-F238E27FC236}">
              <a16:creationId xmlns:a16="http://schemas.microsoft.com/office/drawing/2014/main" id="{00000000-0008-0000-0400-0000BF8B03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2667" y="16838083"/>
          <a:ext cx="9059334" cy="2772834"/>
        </a:xfrm>
        <a:prstGeom prst="rect">
          <a:avLst/>
        </a:prstGeom>
        <a:noFill/>
        <a:ln w="9525">
          <a:solidFill>
            <a:schemeClr val="bg1">
              <a:lumMod val="65000"/>
            </a:schemeClr>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xdr:colOff>
      <xdr:row>0</xdr:row>
      <xdr:rowOff>127000</xdr:rowOff>
    </xdr:from>
    <xdr:to>
      <xdr:col>14</xdr:col>
      <xdr:colOff>668282</xdr:colOff>
      <xdr:row>0</xdr:row>
      <xdr:rowOff>1317625</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45584" y="127000"/>
          <a:ext cx="9060865" cy="1190625"/>
        </a:xfrm>
        <a:prstGeom prst="rect">
          <a:avLst/>
        </a:prstGeom>
      </xdr:spPr>
    </xdr:pic>
    <xdr:clientData/>
  </xdr:twoCellAnchor>
  <xdr:twoCellAnchor>
    <xdr:from>
      <xdr:col>1</xdr:col>
      <xdr:colOff>0</xdr:colOff>
      <xdr:row>1</xdr:row>
      <xdr:rowOff>0</xdr:rowOff>
    </xdr:from>
    <xdr:to>
      <xdr:col>2</xdr:col>
      <xdr:colOff>527051</xdr:colOff>
      <xdr:row>1</xdr:row>
      <xdr:rowOff>352426</xdr:rowOff>
    </xdr:to>
    <xdr:sp macro="" textlink="">
      <xdr:nvSpPr>
        <xdr:cNvPr id="6" name="Rectangle 5">
          <a:hlinkClick xmlns:r="http://schemas.openxmlformats.org/officeDocument/2006/relationships" r:id="rId5"/>
          <a:extLst>
            <a:ext uri="{FF2B5EF4-FFF2-40B4-BE49-F238E27FC236}">
              <a16:creationId xmlns:a16="http://schemas.microsoft.com/office/drawing/2014/main" id="{00000000-0008-0000-0400-000006000000}"/>
            </a:ext>
          </a:extLst>
        </xdr:cNvPr>
        <xdr:cNvSpPr/>
      </xdr:nvSpPr>
      <xdr:spPr>
        <a:xfrm>
          <a:off x="645583" y="1555750"/>
          <a:ext cx="1172635" cy="352426"/>
        </a:xfrm>
        <a:prstGeom prst="rect">
          <a:avLst/>
        </a:prstGeom>
        <a:gradFill>
          <a:gsLst>
            <a:gs pos="0">
              <a:schemeClr val="accent2"/>
            </a:gs>
            <a:gs pos="80000">
              <a:schemeClr val="accent2"/>
            </a:gs>
            <a:gs pos="100000">
              <a:schemeClr val="accent2"/>
            </a:gs>
          </a:gsLst>
          <a:lin ang="16200000" scaled="0"/>
        </a:gra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600"/>
            <a:t>Menu</a:t>
          </a:r>
        </a:p>
      </xdr:txBody>
    </xdr:sp>
    <xdr:clientData/>
  </xdr:twoCellAnchor>
  <xdr:twoCellAnchor>
    <xdr:from>
      <xdr:col>1</xdr:col>
      <xdr:colOff>0</xdr:colOff>
      <xdr:row>74</xdr:row>
      <xdr:rowOff>0</xdr:rowOff>
    </xdr:from>
    <xdr:to>
      <xdr:col>2</xdr:col>
      <xdr:colOff>527051</xdr:colOff>
      <xdr:row>74</xdr:row>
      <xdr:rowOff>352426</xdr:rowOff>
    </xdr:to>
    <xdr:sp macro="" textlink="">
      <xdr:nvSpPr>
        <xdr:cNvPr id="7" name="Rectangle 6">
          <a:hlinkClick xmlns:r="http://schemas.openxmlformats.org/officeDocument/2006/relationships" r:id="rId5"/>
          <a:extLst>
            <a:ext uri="{FF2B5EF4-FFF2-40B4-BE49-F238E27FC236}">
              <a16:creationId xmlns:a16="http://schemas.microsoft.com/office/drawing/2014/main" id="{00000000-0008-0000-0400-000007000000}"/>
            </a:ext>
          </a:extLst>
        </xdr:cNvPr>
        <xdr:cNvSpPr/>
      </xdr:nvSpPr>
      <xdr:spPr>
        <a:xfrm>
          <a:off x="645583" y="20320000"/>
          <a:ext cx="1172635" cy="352426"/>
        </a:xfrm>
        <a:prstGeom prst="rect">
          <a:avLst/>
        </a:prstGeom>
        <a:gradFill>
          <a:gsLst>
            <a:gs pos="0">
              <a:schemeClr val="accent2"/>
            </a:gs>
            <a:gs pos="80000">
              <a:schemeClr val="accent2"/>
            </a:gs>
            <a:gs pos="100000">
              <a:schemeClr val="accent2"/>
            </a:gs>
          </a:gsLst>
          <a:lin ang="16200000" scaled="0"/>
        </a:gra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600"/>
            <a:t>Menu</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3531870</xdr:colOff>
      <xdr:row>5</xdr:row>
      <xdr:rowOff>821055</xdr:rowOff>
    </xdr:from>
    <xdr:to>
      <xdr:col>1</xdr:col>
      <xdr:colOff>4198621</xdr:colOff>
      <xdr:row>5</xdr:row>
      <xdr:rowOff>1064223</xdr:rowOff>
    </xdr:to>
    <xdr:pic>
      <xdr:nvPicPr>
        <xdr:cNvPr id="2" name="Picture 34" descr="Creative Commons Attribution Licence">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4141470" y="5145405"/>
          <a:ext cx="666751" cy="2431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590550</xdr:colOff>
      <xdr:row>0</xdr:row>
      <xdr:rowOff>114300</xdr:rowOff>
    </xdr:from>
    <xdr:to>
      <xdr:col>2</xdr:col>
      <xdr:colOff>35263</xdr:colOff>
      <xdr:row>0</xdr:row>
      <xdr:rowOff>1476375</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90550" y="114300"/>
          <a:ext cx="9169738" cy="13620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8" Type="http://schemas.openxmlformats.org/officeDocument/2006/relationships/hyperlink" Target="http://www.abs.gov.au/ausstats/abs@.NSF/0/FFAC68D07DC6B1CACA25711F00146E7E?opendocument" TargetMode="External"/><Relationship Id="rId3" Type="http://schemas.openxmlformats.org/officeDocument/2006/relationships/hyperlink" Target="http://www.abs.gov.au/AUSSTATS/abs@.nsf/0/6D95F1BAC4277050CA25711F00146E56?opendocument" TargetMode="External"/><Relationship Id="rId7" Type="http://schemas.openxmlformats.org/officeDocument/2006/relationships/hyperlink" Target="http://www.abs.gov.au/ausstats/abs@.nsf/Product+Lookup/2328A9232E1D6C9CCA25711F00146E95?opendocument" TargetMode="External"/><Relationship Id="rId2" Type="http://schemas.openxmlformats.org/officeDocument/2006/relationships/hyperlink" Target="http://www.abs.gov.au/ausstats/abs@.NSF/0/1BCB3B0A36DDC051CA25711F00146E60?opendocument" TargetMode="External"/><Relationship Id="rId1" Type="http://schemas.openxmlformats.org/officeDocument/2006/relationships/hyperlink" Target="http://www.abs.gov.au/AUSSTATS/abs@.nsf/0/36019F16878FD77CCA25711F00146EC1?opendocument" TargetMode="External"/><Relationship Id="rId6" Type="http://schemas.openxmlformats.org/officeDocument/2006/relationships/hyperlink" Target="http://www.abs.gov.au/ausstats/abs@.nsf/Product+Lookup/34D4C30005F692C7CA25711F00146E91?opendocument" TargetMode="External"/><Relationship Id="rId5" Type="http://schemas.openxmlformats.org/officeDocument/2006/relationships/hyperlink" Target="http://www.abs.gov.au/AUSSTATS/abs@.nsf/0/50C5DD75A6223C61CA25711F00146E89?opendocument" TargetMode="External"/><Relationship Id="rId4" Type="http://schemas.openxmlformats.org/officeDocument/2006/relationships/hyperlink" Target="http://www.abs.gov.au/ausstats/abs@.NSF/0/9148F27F324E911BCA25711F00146E35?opendocument" TargetMode="External"/><Relationship Id="rId9"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pageSetUpPr autoPageBreaks="0" fitToPage="1"/>
  </sheetPr>
  <dimension ref="A1:IV5"/>
  <sheetViews>
    <sheetView showRowColHeaders="0" tabSelected="1" zoomScaleNormal="100" workbookViewId="0">
      <selection activeCell="B3" sqref="B3"/>
    </sheetView>
  </sheetViews>
  <sheetFormatPr defaultColWidth="0" defaultRowHeight="12.5" zeroHeight="1" x14ac:dyDescent="0.25"/>
  <cols>
    <col min="1" max="1" width="4.54296875" style="129" customWidth="1"/>
    <col min="2" max="2" width="133.1796875" style="129" customWidth="1"/>
    <col min="3" max="3" width="4.26953125" style="129" customWidth="1"/>
    <col min="4" max="256" width="9.1796875" style="13" hidden="1" customWidth="1"/>
    <col min="257" max="16384" width="0" style="13" hidden="1"/>
  </cols>
  <sheetData>
    <row r="1" spans="2:2" ht="147.75" customHeight="1" x14ac:dyDescent="0.35">
      <c r="B1" s="208" t="s">
        <v>188</v>
      </c>
    </row>
    <row r="2" spans="2:2" ht="1.5" customHeight="1" x14ac:dyDescent="0.25">
      <c r="B2" s="130"/>
    </row>
    <row r="3" spans="2:2" ht="409.5" x14ac:dyDescent="0.25">
      <c r="B3" s="217" t="s">
        <v>190</v>
      </c>
    </row>
    <row r="4" spans="2:2" ht="45" customHeight="1" x14ac:dyDescent="0.25">
      <c r="B4" s="218" t="s">
        <v>202</v>
      </c>
    </row>
    <row r="5" spans="2:2" hidden="1" x14ac:dyDescent="0.25"/>
  </sheetData>
  <sheetProtection algorithmName="SHA-256" hashValue="WlnWFR7n7suXeLpqtd/yZImRTOiJYUwJTozoerSfdHs=" saltValue="BUr7KaaUPW2S2rNS6EApTw==" spinCount="100000" sheet="1" selectLockedCells="1" selectUnlockedCells="1"/>
  <pageMargins left="0.70866141732283472" right="0.70866141732283472" top="0.74803149606299213" bottom="0.74803149606299213" header="0.31496062992125984" footer="0.31496062992125984"/>
  <pageSetup paperSize="9" scale="89" orientation="landscape" r:id="rId1"/>
  <headerFooter>
    <oddHeader>&amp;LNGER wastewater (Industrial) calculator 1.5 Sheet: 1&amp;R&amp;A</oddHeader>
    <oddFooter>&amp;L© Commonwealth of Australia (2014) Clean Energy Regulator.&amp;RISBN: 978-1-921299-80-3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dimension ref="A1:D18"/>
  <sheetViews>
    <sheetView showRowColHeaders="0" workbookViewId="0"/>
  </sheetViews>
  <sheetFormatPr defaultColWidth="0" defaultRowHeight="12.5" zeroHeight="1" x14ac:dyDescent="0.25"/>
  <cols>
    <col min="1" max="1" width="13.81640625" style="13" customWidth="1"/>
    <col min="2" max="2" width="41" style="13" customWidth="1"/>
    <col min="3" max="3" width="74.54296875" style="13" customWidth="1"/>
    <col min="4" max="4" width="13.453125" style="13" customWidth="1"/>
    <col min="5" max="16384" width="9.1796875" hidden="1"/>
  </cols>
  <sheetData>
    <row r="1" spans="1:4" ht="104.25" customHeight="1" x14ac:dyDescent="0.25">
      <c r="A1" s="113"/>
      <c r="B1" s="223"/>
      <c r="C1" s="223"/>
      <c r="D1" s="113"/>
    </row>
    <row r="2" spans="1:4" ht="15.5" x14ac:dyDescent="0.25">
      <c r="A2" s="113"/>
      <c r="B2" s="220" t="s">
        <v>125</v>
      </c>
      <c r="C2" s="220"/>
      <c r="D2" s="113"/>
    </row>
    <row r="3" spans="1:4" x14ac:dyDescent="0.25">
      <c r="A3" s="113"/>
      <c r="B3" s="113"/>
      <c r="C3" s="113"/>
      <c r="D3" s="113"/>
    </row>
    <row r="4" spans="1:4" ht="30.25" customHeight="1" x14ac:dyDescent="0.25">
      <c r="B4" s="131" t="s">
        <v>126</v>
      </c>
      <c r="D4" s="113"/>
    </row>
    <row r="5" spans="1:4" ht="30.25" customHeight="1" x14ac:dyDescent="0.25">
      <c r="A5" s="142"/>
      <c r="B5" s="132"/>
      <c r="C5" s="133" t="s">
        <v>129</v>
      </c>
      <c r="D5" s="141" t="str">
        <f>IF('Facility input'!D46&gt;0,"Done","")</f>
        <v/>
      </c>
    </row>
    <row r="6" spans="1:4" ht="30.25" customHeight="1" x14ac:dyDescent="0.25">
      <c r="A6" s="142"/>
      <c r="B6" s="132"/>
      <c r="C6" s="133" t="s">
        <v>127</v>
      </c>
      <c r="D6" s="199" t="str">
        <f>IF(AND(D5="Done",'Facility input'!D7=1),"View","")</f>
        <v/>
      </c>
    </row>
    <row r="7" spans="1:4" ht="30.25" customHeight="1" x14ac:dyDescent="0.25">
      <c r="A7" s="143"/>
      <c r="B7" s="132"/>
      <c r="C7" s="133" t="s">
        <v>128</v>
      </c>
      <c r="D7" s="199" t="str">
        <f>IF(AND(D5="Done",'Facility input'!D7&gt;1),"View","")</f>
        <v/>
      </c>
    </row>
    <row r="8" spans="1:4" ht="30.25" customHeight="1" x14ac:dyDescent="0.25">
      <c r="A8" s="143"/>
      <c r="B8" s="144"/>
      <c r="C8" s="134"/>
      <c r="D8" s="129"/>
    </row>
    <row r="9" spans="1:4" ht="82.5" customHeight="1" x14ac:dyDescent="0.25">
      <c r="A9" s="145"/>
      <c r="B9" s="221" t="s">
        <v>189</v>
      </c>
      <c r="C9" s="221"/>
      <c r="D9" s="129"/>
    </row>
    <row r="10" spans="1:4" ht="14.25" customHeight="1" x14ac:dyDescent="0.25">
      <c r="A10" s="137"/>
      <c r="B10" s="222"/>
      <c r="C10" s="222"/>
      <c r="D10" s="137"/>
    </row>
    <row r="11" spans="1:4" ht="88.5" hidden="1" customHeight="1" x14ac:dyDescent="0.3">
      <c r="A11" s="137"/>
      <c r="B11" s="146"/>
      <c r="C11" s="146"/>
      <c r="D11" s="137"/>
    </row>
    <row r="12" spans="1:4" ht="98.5" hidden="1" customHeight="1" x14ac:dyDescent="0.3">
      <c r="A12" s="147"/>
      <c r="B12" s="137"/>
      <c r="C12" s="137"/>
      <c r="D12" s="129"/>
    </row>
    <row r="13" spans="1:4" hidden="1" x14ac:dyDescent="0.25">
      <c r="A13" s="137"/>
      <c r="B13" s="113"/>
      <c r="C13" s="113"/>
      <c r="D13" s="113"/>
    </row>
    <row r="14" spans="1:4" ht="13" hidden="1" x14ac:dyDescent="0.3">
      <c r="A14" s="137"/>
      <c r="B14" s="138"/>
      <c r="C14" s="138"/>
      <c r="D14" s="129"/>
    </row>
    <row r="15" spans="1:4" ht="15.5" hidden="1" x14ac:dyDescent="0.35">
      <c r="A15" s="137"/>
      <c r="B15" s="139"/>
      <c r="C15" s="139"/>
      <c r="D15" s="129"/>
    </row>
    <row r="16" spans="1:4" ht="13" hidden="1" x14ac:dyDescent="0.3">
      <c r="A16" s="147"/>
      <c r="B16" s="137"/>
      <c r="C16" s="137"/>
      <c r="D16" s="129"/>
    </row>
    <row r="17" spans="1:4" hidden="1" x14ac:dyDescent="0.25">
      <c r="A17" s="136"/>
      <c r="B17" s="135"/>
      <c r="C17" s="135"/>
      <c r="D17" s="140"/>
    </row>
    <row r="18" spans="1:4" hidden="1" x14ac:dyDescent="0.25">
      <c r="A18" s="136"/>
      <c r="B18" s="135"/>
      <c r="C18" s="135"/>
      <c r="D18" s="140"/>
    </row>
  </sheetData>
  <sheetProtection algorithmName="SHA-256" hashValue="2GNNnu+UPEdyui4Le+YouebXgKdkonzGAodsRUta0Hg=" saltValue="yaXko4cyOiWCv9g8AiSthw==" spinCount="100000" sheet="1" selectLockedCells="1" selectUnlockedCells="1"/>
  <mergeCells count="4">
    <mergeCell ref="B2:C2"/>
    <mergeCell ref="B9:C9"/>
    <mergeCell ref="B10:C10"/>
    <mergeCell ref="B1:C1"/>
  </mergeCells>
  <hyperlinks>
    <hyperlink ref="D6" location="'EERS data entry method 1'!A1" display="'EERS data entry method 1'!A1" xr:uid="{00000000-0004-0000-0100-000000000000}"/>
    <hyperlink ref="D7" location="'EERS data entry methods 2 &amp;3'!A1" display="'EERS data entry methods 2 &amp;3'!A1" xr:uid="{00000000-0004-0000-0100-000001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T69"/>
  <sheetViews>
    <sheetView showRowColHeaders="0" zoomScaleNormal="100" workbookViewId="0">
      <selection activeCell="D31" sqref="D31"/>
    </sheetView>
  </sheetViews>
  <sheetFormatPr defaultColWidth="0" defaultRowHeight="15.5" zeroHeight="1" x14ac:dyDescent="0.35"/>
  <cols>
    <col min="1" max="1" width="4.7265625" style="149" customWidth="1"/>
    <col min="2" max="2" width="61.54296875" style="50" customWidth="1"/>
    <col min="3" max="5" width="30.7265625" style="47" customWidth="1"/>
    <col min="6" max="6" width="33.1796875" style="47" bestFit="1" customWidth="1"/>
    <col min="7" max="7" width="30.7265625" style="50" customWidth="1"/>
    <col min="8" max="8" width="54.7265625" style="50" hidden="1" customWidth="1"/>
    <col min="9" max="9" width="10.7265625" style="51" hidden="1" customWidth="1"/>
    <col min="10" max="10" width="9.1796875" style="13" hidden="1" customWidth="1"/>
    <col min="11" max="11" width="5.453125" style="149" hidden="1" customWidth="1"/>
    <col min="12" max="12" width="10.7265625" style="51" hidden="1" customWidth="1"/>
    <col min="13" max="16" width="9.1796875" style="13" hidden="1" customWidth="1"/>
    <col min="17" max="18" width="9.1796875" style="50" hidden="1" customWidth="1"/>
    <col min="19" max="19" width="9.453125" style="50" hidden="1" customWidth="1"/>
    <col min="20" max="16384" width="9.1796875" style="50" hidden="1"/>
  </cols>
  <sheetData>
    <row r="1" spans="1:17" s="148" customFormat="1" ht="90" customHeight="1" x14ac:dyDescent="0.25">
      <c r="A1" s="207"/>
      <c r="B1" s="206"/>
      <c r="C1" s="248"/>
      <c r="D1" s="249"/>
      <c r="E1" s="249"/>
      <c r="F1" s="249"/>
    </row>
    <row r="2" spans="1:17" s="152" customFormat="1" ht="7.5" customHeight="1" x14ac:dyDescent="0.3">
      <c r="B2" s="257"/>
      <c r="C2" s="257"/>
      <c r="D2" s="257"/>
      <c r="E2" s="257"/>
      <c r="F2" s="257"/>
      <c r="G2" s="150"/>
      <c r="H2" s="150"/>
      <c r="I2" s="151"/>
      <c r="J2" s="129"/>
      <c r="K2" s="150"/>
      <c r="L2" s="151"/>
      <c r="M2" s="129"/>
      <c r="N2" s="129"/>
      <c r="O2" s="129"/>
      <c r="P2" s="129"/>
    </row>
    <row r="3" spans="1:17" ht="30.25" customHeight="1" x14ac:dyDescent="0.35">
      <c r="B3" s="149"/>
      <c r="C3" s="160"/>
      <c r="D3" s="160"/>
      <c r="E3" s="160"/>
      <c r="F3" s="160"/>
      <c r="G3" s="149"/>
      <c r="H3" s="149"/>
    </row>
    <row r="4" spans="1:17" ht="6.75" customHeight="1" x14ac:dyDescent="0.35">
      <c r="B4" s="149"/>
      <c r="C4" s="160"/>
      <c r="D4" s="160"/>
      <c r="E4" s="160"/>
      <c r="F4" s="160"/>
      <c r="G4" s="161"/>
      <c r="H4" s="149"/>
    </row>
    <row r="5" spans="1:17" s="115" customFormat="1" ht="30.25" customHeight="1" thickBot="1" x14ac:dyDescent="0.3">
      <c r="A5" s="204"/>
      <c r="B5" s="254" t="s">
        <v>132</v>
      </c>
      <c r="C5" s="255"/>
      <c r="D5" s="256"/>
      <c r="E5" s="180"/>
      <c r="F5" s="180"/>
      <c r="G5" s="180"/>
      <c r="I5" s="116"/>
      <c r="J5" s="117"/>
      <c r="K5" s="204"/>
      <c r="L5" s="116"/>
      <c r="M5" s="117"/>
      <c r="N5" s="117"/>
      <c r="O5" s="117"/>
      <c r="P5" s="117"/>
    </row>
    <row r="6" spans="1:17" ht="30.25" customHeight="1" x14ac:dyDescent="0.35">
      <c r="B6" s="251" t="s">
        <v>130</v>
      </c>
      <c r="C6" s="251"/>
      <c r="D6" s="184"/>
      <c r="E6" s="252" t="str">
        <f>IF(H6=InpReq,"Enter reporting period year ending (e.g. for 2020-2021 enter 2021)",IF(D6&lt;2021,"Incorrect reporting period selected",""))</f>
        <v>Enter reporting period year ending (e.g. for 2020-2021 enter 2021)</v>
      </c>
      <c r="F6" s="252"/>
      <c r="G6" s="252"/>
      <c r="H6" s="127" t="str">
        <f>IF(D6="",InpReq,"")</f>
        <v>&lt;==== Input required</v>
      </c>
    </row>
    <row r="7" spans="1:17" ht="30.25" customHeight="1" x14ac:dyDescent="0.35">
      <c r="B7" s="250" t="s">
        <v>131</v>
      </c>
      <c r="C7" s="250"/>
      <c r="D7" s="185">
        <v>1</v>
      </c>
      <c r="E7" s="253" t="str">
        <f>IF(H7=Seldrop,"Please select reporting method","")</f>
        <v/>
      </c>
      <c r="F7" s="253"/>
      <c r="G7" s="253"/>
      <c r="H7" s="125" t="str">
        <f>IF(D7="",Seldrop,"")</f>
        <v/>
      </c>
    </row>
    <row r="8" spans="1:17" ht="30.25" hidden="1" customHeight="1" x14ac:dyDescent="0.35">
      <c r="B8" s="234" t="s">
        <v>118</v>
      </c>
      <c r="C8" s="234"/>
      <c r="D8" s="234"/>
      <c r="E8" s="234"/>
      <c r="F8" s="234"/>
      <c r="G8" s="154"/>
      <c r="K8" s="209"/>
      <c r="P8" s="14"/>
    </row>
    <row r="9" spans="1:17" ht="30.25" hidden="1" customHeight="1" x14ac:dyDescent="0.35">
      <c r="G9" s="154"/>
    </row>
    <row r="10" spans="1:17" ht="35.15" customHeight="1" x14ac:dyDescent="0.35">
      <c r="B10" s="238" t="s">
        <v>35</v>
      </c>
      <c r="C10" s="239"/>
      <c r="D10" s="155" t="s">
        <v>164</v>
      </c>
      <c r="E10" s="162" t="s">
        <v>135</v>
      </c>
      <c r="F10" s="162" t="s">
        <v>134</v>
      </c>
      <c r="G10" s="162" t="s">
        <v>133</v>
      </c>
      <c r="H10" s="156"/>
      <c r="I10" s="50"/>
      <c r="J10" s="51"/>
      <c r="K10" s="113"/>
      <c r="L10" s="4"/>
      <c r="M10" s="51"/>
      <c r="Q10" s="51"/>
    </row>
    <row r="11" spans="1:17" ht="30.25" customHeight="1" x14ac:dyDescent="0.35">
      <c r="B11" s="240" t="str">
        <f>Calculations!K4</f>
        <v>Dairy product (ANZSIC code 113)</v>
      </c>
      <c r="C11" s="241"/>
      <c r="D11" s="186"/>
      <c r="E11" s="186">
        <f>IF($D$7=1,D56,"0.00")</f>
        <v>5.7</v>
      </c>
      <c r="F11" s="186">
        <f>IF($D$7=1,E56,"0.00")</f>
        <v>0.9</v>
      </c>
      <c r="G11" s="157">
        <f>D11*E11*F11/1000</f>
        <v>0</v>
      </c>
      <c r="H11" s="158"/>
      <c r="I11" s="4"/>
      <c r="J11" s="51"/>
      <c r="K11" s="113"/>
      <c r="L11" s="50"/>
      <c r="M11" s="51"/>
      <c r="Q11" s="13"/>
    </row>
    <row r="12" spans="1:17" ht="30.25" customHeight="1" x14ac:dyDescent="0.35">
      <c r="B12" s="240" t="str">
        <f>Calculations!K5</f>
        <v>Pulp, paper and paperboard (ANZSIC code 1510)</v>
      </c>
      <c r="C12" s="241"/>
      <c r="D12" s="186"/>
      <c r="E12" s="186">
        <f t="shared" ref="E12:F18" si="0">IF($D$7=1,D57,"0.00")</f>
        <v>26.7</v>
      </c>
      <c r="F12" s="186">
        <f t="shared" si="0"/>
        <v>0.4</v>
      </c>
      <c r="G12" s="157">
        <f t="shared" ref="G12:G18" si="1">D12*E12*F12/1000</f>
        <v>0</v>
      </c>
      <c r="H12" s="158"/>
      <c r="I12" s="4"/>
      <c r="J12" s="51"/>
      <c r="K12" s="113"/>
      <c r="L12" s="50"/>
      <c r="M12" s="51"/>
      <c r="Q12" s="13"/>
    </row>
    <row r="13" spans="1:17" s="1" customFormat="1" ht="30.25" customHeight="1" x14ac:dyDescent="0.3">
      <c r="A13" s="205"/>
      <c r="B13" s="240" t="str">
        <f>Calculations!K6</f>
        <v>Meat and poultry (ANZSIC codes 1111 and 1112)</v>
      </c>
      <c r="C13" s="241"/>
      <c r="D13" s="186"/>
      <c r="E13" s="186">
        <f t="shared" si="0"/>
        <v>13.7</v>
      </c>
      <c r="F13" s="186">
        <f t="shared" si="0"/>
        <v>6.1</v>
      </c>
      <c r="G13" s="157">
        <f t="shared" si="1"/>
        <v>0</v>
      </c>
      <c r="H13" s="158"/>
      <c r="I13" s="4"/>
      <c r="K13" s="205"/>
    </row>
    <row r="14" spans="1:17" s="1" customFormat="1" ht="30.25" customHeight="1" x14ac:dyDescent="0.3">
      <c r="A14" s="205"/>
      <c r="B14" s="240" t="str">
        <f>Calculations!K7</f>
        <v>Organic chemicals (ANZSIC codes 18 and 19)</v>
      </c>
      <c r="C14" s="241"/>
      <c r="D14" s="186"/>
      <c r="E14" s="186">
        <f t="shared" si="0"/>
        <v>67</v>
      </c>
      <c r="F14" s="186">
        <f t="shared" si="0"/>
        <v>3</v>
      </c>
      <c r="G14" s="157">
        <f t="shared" si="1"/>
        <v>0</v>
      </c>
      <c r="H14" s="158"/>
      <c r="I14" s="4"/>
      <c r="K14" s="205"/>
    </row>
    <row r="15" spans="1:17" ht="30.25" customHeight="1" x14ac:dyDescent="0.35">
      <c r="B15" s="240" t="str">
        <f>Calculations!K8</f>
        <v>Raw sugar (ANZSIC code 1181)</v>
      </c>
      <c r="C15" s="241"/>
      <c r="D15" s="186"/>
      <c r="E15" s="186">
        <f t="shared" si="0"/>
        <v>0.4</v>
      </c>
      <c r="F15" s="186">
        <f t="shared" si="0"/>
        <v>3.8</v>
      </c>
      <c r="G15" s="157">
        <f t="shared" si="1"/>
        <v>0</v>
      </c>
      <c r="H15" s="158"/>
      <c r="I15" s="4"/>
      <c r="J15" s="51"/>
      <c r="K15" s="113"/>
      <c r="L15" s="50"/>
      <c r="M15" s="51"/>
      <c r="Q15" s="13"/>
    </row>
    <row r="16" spans="1:17" ht="30.25" customHeight="1" x14ac:dyDescent="0.35">
      <c r="B16" s="240" t="str">
        <f>Calculations!K9</f>
        <v>Beer (ANZSIC code 1212)</v>
      </c>
      <c r="C16" s="241"/>
      <c r="D16" s="186"/>
      <c r="E16" s="186">
        <f t="shared" si="0"/>
        <v>5.3</v>
      </c>
      <c r="F16" s="186">
        <f t="shared" si="0"/>
        <v>6</v>
      </c>
      <c r="G16" s="157">
        <f t="shared" si="1"/>
        <v>0</v>
      </c>
      <c r="H16" s="158"/>
      <c r="I16" s="4"/>
      <c r="J16" s="51"/>
      <c r="K16" s="113"/>
      <c r="L16" s="50"/>
      <c r="M16" s="51"/>
      <c r="Q16" s="13"/>
    </row>
    <row r="17" spans="1:20" ht="30.25" customHeight="1" x14ac:dyDescent="0.35">
      <c r="B17" s="240" t="str">
        <f>Calculations!K10</f>
        <v>Wine and other alcoholic beverage (ANZSIC code 1214)</v>
      </c>
      <c r="C17" s="241"/>
      <c r="D17" s="186"/>
      <c r="E17" s="186">
        <f t="shared" si="0"/>
        <v>23</v>
      </c>
      <c r="F17" s="186">
        <f t="shared" si="0"/>
        <v>1.5</v>
      </c>
      <c r="G17" s="157">
        <f t="shared" si="1"/>
        <v>0</v>
      </c>
      <c r="H17" s="158"/>
      <c r="I17" s="4"/>
      <c r="J17" s="51"/>
      <c r="K17" s="113"/>
      <c r="L17" s="50"/>
      <c r="M17" s="51"/>
      <c r="Q17" s="13"/>
    </row>
    <row r="18" spans="1:20" ht="30.25" customHeight="1" x14ac:dyDescent="0.35">
      <c r="B18" s="240" t="str">
        <f>Calculations!K11</f>
        <v>Fruit and vegetable (ANZSIC code 1140)</v>
      </c>
      <c r="C18" s="241"/>
      <c r="D18" s="186"/>
      <c r="E18" s="186">
        <f t="shared" si="0"/>
        <v>20</v>
      </c>
      <c r="F18" s="186">
        <f t="shared" si="0"/>
        <v>0.2</v>
      </c>
      <c r="G18" s="157">
        <f t="shared" si="1"/>
        <v>0</v>
      </c>
      <c r="H18" s="158"/>
      <c r="I18" s="4"/>
      <c r="J18" s="51"/>
      <c r="K18" s="113"/>
      <c r="L18" s="50"/>
      <c r="M18" s="51"/>
      <c r="Q18" s="13"/>
    </row>
    <row r="19" spans="1:20" ht="35.15" customHeight="1" x14ac:dyDescent="0.35">
      <c r="B19" s="242" t="s">
        <v>136</v>
      </c>
      <c r="C19" s="243"/>
      <c r="D19" s="170" t="str">
        <f>IF(H29=Calculations!$K$23,"Enter required data above","")</f>
        <v>Enter required data above</v>
      </c>
      <c r="E19" s="244" t="str">
        <f>IF(D7=1,"Default values have been entered above for you. See the table below for default method 1 values",IF(D7&gt;1,"Please enter values above",""))</f>
        <v>Default values have been entered above for you. See the table below for default method 1 values</v>
      </c>
      <c r="F19" s="245"/>
      <c r="G19" s="163">
        <f>SUM(G11:G18)</f>
        <v>0</v>
      </c>
      <c r="H19" s="157"/>
      <c r="I19" s="50"/>
      <c r="J19" s="51"/>
      <c r="K19" s="113"/>
      <c r="L19" s="50"/>
      <c r="M19" s="51"/>
      <c r="Q19" s="13"/>
    </row>
    <row r="20" spans="1:20" ht="30.25" hidden="1" customHeight="1" x14ac:dyDescent="0.35">
      <c r="E20" s="266"/>
      <c r="F20" s="267"/>
      <c r="G20" s="268"/>
      <c r="H20" s="3"/>
      <c r="I20" s="127"/>
      <c r="J20" s="128"/>
      <c r="K20" s="210"/>
      <c r="L20" s="50"/>
      <c r="M20" s="51"/>
      <c r="O20" s="50"/>
      <c r="P20" s="51"/>
      <c r="Q20" s="13"/>
      <c r="R20" s="13"/>
      <c r="S20" s="13"/>
      <c r="T20" s="13"/>
    </row>
    <row r="21" spans="1:20" ht="30.25" customHeight="1" x14ac:dyDescent="0.35">
      <c r="B21" s="246" t="s">
        <v>137</v>
      </c>
      <c r="C21" s="247"/>
      <c r="D21" s="187"/>
      <c r="E21" s="235" t="str">
        <f>IF(H21=InpReq,"Please enter required information","")</f>
        <v>Please enter required information</v>
      </c>
      <c r="F21" s="236"/>
      <c r="G21" s="237"/>
      <c r="H21" s="120" t="str">
        <f>IF(D21="",Calculations!$K$25,"")</f>
        <v>&lt;==== Input required</v>
      </c>
      <c r="I21" s="125"/>
      <c r="J21" s="126"/>
      <c r="K21" s="210"/>
      <c r="L21" s="50"/>
      <c r="M21" s="51"/>
      <c r="O21" s="50"/>
      <c r="P21" s="51"/>
      <c r="Q21" s="13"/>
      <c r="R21" s="13"/>
      <c r="S21" s="13"/>
      <c r="T21" s="13"/>
    </row>
    <row r="22" spans="1:20" ht="30.25" customHeight="1" x14ac:dyDescent="0.35">
      <c r="B22" s="258" t="s">
        <v>140</v>
      </c>
      <c r="C22" s="260"/>
      <c r="D22" s="163">
        <f>IF(ISERROR(G19*D21),0,G19*D21)</f>
        <v>0</v>
      </c>
      <c r="E22" s="263" t="str">
        <f>IF(D22=0,"Amount will be calculated for you",IF(D22&gt;0,"Amount has been calculated for you",""))</f>
        <v>Amount will be calculated for you</v>
      </c>
      <c r="F22" s="264"/>
      <c r="G22" s="265"/>
      <c r="H22" s="118"/>
    </row>
    <row r="23" spans="1:20" ht="30.25" customHeight="1" x14ac:dyDescent="0.35">
      <c r="B23" s="261" t="s">
        <v>139</v>
      </c>
      <c r="C23" s="262"/>
      <c r="D23" s="187"/>
      <c r="E23" s="235" t="str">
        <f>IF(H23=InpReq,"Please enter required information",IF(H23="CODeff should be &lt; CODw,i - CODsl","CODeff should be &lt; CODw,i - CODsl",""))</f>
        <v/>
      </c>
      <c r="F23" s="236"/>
      <c r="G23" s="237"/>
      <c r="H23" s="120" t="str">
        <f>IF(D6&lt;2012,IF(D23="","",PlseDel),IF(D23="",InpReq,IF((D23)&gt;(G19-D22),"CODeff should be &lt; CODw,i - CODsl","")))</f>
        <v/>
      </c>
    </row>
    <row r="24" spans="1:20" ht="30.25" customHeight="1" x14ac:dyDescent="0.35">
      <c r="B24" s="246" t="s">
        <v>141</v>
      </c>
      <c r="C24" s="247"/>
      <c r="D24" s="187"/>
      <c r="E24" s="235" t="str">
        <f>IF(H24=InpReq,"Please enter required information",IF(H24="CODtrl + CODtro should be &lt; CODsl","CODtrl + CODtro should be &lt; CODsl",""))</f>
        <v>Please enter required information</v>
      </c>
      <c r="F24" s="236"/>
      <c r="G24" s="237"/>
      <c r="H24" s="120" t="str">
        <f>IF(D24="",Calculations!$K$25,IF((D24+D25)&gt;(D22),"CODtrl + CODtro should be &lt; CODsl",""))</f>
        <v>&lt;==== Input required</v>
      </c>
    </row>
    <row r="25" spans="1:20" ht="30.25" customHeight="1" x14ac:dyDescent="0.35">
      <c r="B25" s="246" t="s">
        <v>142</v>
      </c>
      <c r="C25" s="247"/>
      <c r="D25" s="187"/>
      <c r="E25" s="235" t="str">
        <f>IF(H25=InpReq,"Please enter required information",IF(H25="CODtrl + CODtro should be &lt; CODsl","CODtrl + CODtro should be &lt; CODsl",""))</f>
        <v>Please enter required information</v>
      </c>
      <c r="F25" s="236"/>
      <c r="G25" s="237"/>
      <c r="H25" s="120" t="str">
        <f>IF(D25="",Calculations!$K$25,IF((D24+D25)&gt;(D22),"CODtrl + CODtro should be &lt; CODsl",""))</f>
        <v>&lt;==== Input required</v>
      </c>
      <c r="K25" s="211"/>
      <c r="P25" s="4"/>
    </row>
    <row r="26" spans="1:20" ht="30.25" customHeight="1" x14ac:dyDescent="0.35">
      <c r="B26" s="258" t="s">
        <v>143</v>
      </c>
      <c r="C26" s="259"/>
      <c r="D26" s="187"/>
      <c r="E26" s="235" t="str">
        <f>IF(H26=InpReq,"Please enter required information","")</f>
        <v>Please enter required information</v>
      </c>
      <c r="F26" s="236"/>
      <c r="G26" s="237"/>
      <c r="H26" s="120" t="str">
        <f>IF(D26="",Calculations!$K$25,"")</f>
        <v>&lt;==== Input required</v>
      </c>
      <c r="K26" s="211"/>
      <c r="P26" s="4"/>
    </row>
    <row r="27" spans="1:20" ht="30.25" customHeight="1" x14ac:dyDescent="0.35">
      <c r="B27" s="246" t="s">
        <v>144</v>
      </c>
      <c r="C27" s="247"/>
      <c r="D27" s="187"/>
      <c r="E27" s="235" t="str">
        <f>IF(H27=InpReq,"Please enter required information","")</f>
        <v>Please enter required information</v>
      </c>
      <c r="F27" s="236"/>
      <c r="G27" s="237"/>
      <c r="H27" s="120" t="str">
        <f>IF(D27="",Calculations!$K$25,"")</f>
        <v>&lt;==== Input required</v>
      </c>
      <c r="K27" s="211"/>
      <c r="P27" s="4"/>
    </row>
    <row r="28" spans="1:20" ht="30.25" customHeight="1" x14ac:dyDescent="0.35">
      <c r="B28" s="246" t="s">
        <v>145</v>
      </c>
      <c r="C28" s="247"/>
      <c r="D28" s="187"/>
      <c r="E28" s="235" t="str">
        <f>IF(H28=InpReq,"Please enter required information","")</f>
        <v>Please enter required information</v>
      </c>
      <c r="F28" s="236"/>
      <c r="G28" s="237"/>
      <c r="H28" s="120" t="str">
        <f>IF(D28="",Calculations!$K$25,"")</f>
        <v>&lt;==== Input required</v>
      </c>
      <c r="K28" s="211"/>
      <c r="P28" s="4"/>
    </row>
    <row r="29" spans="1:20" ht="30.25" customHeight="1" x14ac:dyDescent="0.35">
      <c r="B29" s="246" t="s">
        <v>159</v>
      </c>
      <c r="C29" s="247"/>
      <c r="D29" s="188" t="s">
        <v>30</v>
      </c>
      <c r="E29" s="269" t="str">
        <f>IF(AND(D19="Enter required data above",D29=""),"First, enter data for at least one commodity",IF(AND(D19="",D29=""),"Please select from the drop down menu or enter your own value",H29))</f>
        <v>Firstly, input data (above) for at least one commodity</v>
      </c>
      <c r="F29" s="270"/>
      <c r="G29" s="271"/>
      <c r="H29" s="153" t="str">
        <f>IF(Calculations!V7&lt;1,Calculations!$K$23,IF(D29&lt;&gt;"",IF(Calculations!R8=TRUE,VLOOKUP(D29,Calculations!$F$3:$I$7,3,FALSE),D29),Calculations!$K$22))</f>
        <v>Firstly, input data (above) for at least one commodity</v>
      </c>
      <c r="K29" s="211"/>
      <c r="P29" s="4"/>
    </row>
    <row r="30" spans="1:20" s="5" customFormat="1" ht="30.25" customHeight="1" x14ac:dyDescent="0.3">
      <c r="A30" s="152"/>
      <c r="B30" s="276" t="s">
        <v>160</v>
      </c>
      <c r="C30" s="277"/>
      <c r="D30" s="188" t="s">
        <v>30</v>
      </c>
      <c r="E30" s="269" t="str">
        <f>IF(AND(D19="Enter required data above",D30=""),"First, enter data for at least one commodity",IF(AND(D19="",D30=""),"Please select from the drop down menu or enter your own value",H30))</f>
        <v>Firstly, input data (above) for at least one commodity</v>
      </c>
      <c r="F30" s="270"/>
      <c r="G30" s="271"/>
      <c r="H30" s="153" t="str">
        <f>IF(Calculations!V7&lt;1,Calculations!$K$23,IF(D30&lt;&gt;"",IF(Calculations!R7=TRUE,VLOOKUP(D30,Calculations!$F$3:$I$7,4,FALSE),D30),Calculations!$K$22))</f>
        <v>Firstly, input data (above) for at least one commodity</v>
      </c>
      <c r="K30" s="211"/>
      <c r="P30" s="4"/>
    </row>
    <row r="31" spans="1:20" ht="30.25" customHeight="1" x14ac:dyDescent="0.35">
      <c r="B31" s="275" t="s">
        <v>161</v>
      </c>
      <c r="C31" s="262"/>
      <c r="D31" s="186">
        <v>7</v>
      </c>
      <c r="E31" s="272" t="str">
        <f>IF(D31="","Please enter required information",IF(D31=7,"Default value has been entered for you",""))</f>
        <v>Default value has been entered for you</v>
      </c>
      <c r="F31" s="273"/>
      <c r="G31" s="274"/>
      <c r="H31" s="120">
        <f>IF(D31="",Calculations!$K$22,IF(ISNUMBER(D31),D31,Calculations!$K$26))</f>
        <v>7</v>
      </c>
      <c r="K31" s="211"/>
      <c r="P31" s="4"/>
    </row>
    <row r="32" spans="1:20" ht="30.25" customHeight="1" x14ac:dyDescent="0.35">
      <c r="B32" s="275" t="s">
        <v>162</v>
      </c>
      <c r="C32" s="262"/>
      <c r="D32" s="186">
        <v>7</v>
      </c>
      <c r="E32" s="272" t="str">
        <f>IF(D32="","Please enter required information",IF(D32=7,"Default value has been entered for you",""))</f>
        <v>Default value has been entered for you</v>
      </c>
      <c r="F32" s="273"/>
      <c r="G32" s="274"/>
      <c r="H32" s="120">
        <f>IF(D32="",Calculations!$K$22,IF(ISNUMBER(D32),D32,Calculations!$K$26))</f>
        <v>7</v>
      </c>
      <c r="K32" s="211"/>
      <c r="P32" s="4"/>
    </row>
    <row r="33" spans="2:20" ht="30.25" customHeight="1" x14ac:dyDescent="0.35">
      <c r="B33" s="261" t="s">
        <v>163</v>
      </c>
      <c r="C33" s="262"/>
      <c r="D33" s="159">
        <f>6.784*10^-4*28</f>
        <v>1.89952E-2</v>
      </c>
      <c r="E33" s="263" t="s">
        <v>146</v>
      </c>
      <c r="F33" s="264"/>
      <c r="G33" s="265"/>
    </row>
    <row r="34" spans="2:20" ht="30.25" customHeight="1" x14ac:dyDescent="0.35">
      <c r="B34" s="164"/>
      <c r="C34" s="165"/>
      <c r="D34" s="166"/>
      <c r="E34" s="166"/>
      <c r="F34" s="167"/>
      <c r="G34" s="168"/>
      <c r="I34" s="50"/>
      <c r="J34" s="51"/>
      <c r="K34" s="113"/>
      <c r="L34" s="50"/>
      <c r="M34" s="51"/>
      <c r="Q34" s="13"/>
    </row>
    <row r="35" spans="2:20" ht="30.25" hidden="1" customHeight="1" x14ac:dyDescent="0.35">
      <c r="I35" s="119"/>
      <c r="J35" s="123"/>
      <c r="L35" s="4"/>
      <c r="M35" s="51"/>
      <c r="O35" s="4"/>
      <c r="P35" s="51"/>
      <c r="Q35" s="13"/>
      <c r="R35" s="13"/>
      <c r="S35" s="13"/>
      <c r="T35" s="4"/>
    </row>
    <row r="36" spans="2:20" ht="30.25" hidden="1" customHeight="1" x14ac:dyDescent="0.35">
      <c r="I36" s="122"/>
      <c r="J36" s="50"/>
      <c r="N36" s="50"/>
      <c r="O36" s="51"/>
      <c r="Q36" s="13"/>
      <c r="R36" s="13"/>
      <c r="S36" s="51"/>
    </row>
    <row r="37" spans="2:20" ht="30.25" hidden="1" customHeight="1" x14ac:dyDescent="0.35">
      <c r="I37" s="118"/>
      <c r="J37" s="122"/>
      <c r="L37" s="50"/>
      <c r="M37" s="51"/>
      <c r="O37" s="50"/>
      <c r="P37" s="51"/>
      <c r="Q37" s="13"/>
      <c r="R37" s="13"/>
      <c r="S37" s="13"/>
      <c r="T37" s="51"/>
    </row>
    <row r="38" spans="2:20" ht="30.25" hidden="1" customHeight="1" x14ac:dyDescent="0.35">
      <c r="G38" s="7"/>
      <c r="H38" s="13"/>
      <c r="I38" s="119"/>
      <c r="J38" s="123"/>
      <c r="L38" s="4"/>
      <c r="M38" s="51"/>
      <c r="O38" s="4"/>
      <c r="P38" s="51"/>
      <c r="Q38" s="13"/>
      <c r="R38" s="13"/>
      <c r="S38" s="13"/>
      <c r="T38" s="4"/>
    </row>
    <row r="39" spans="2:20" ht="30.25" hidden="1" customHeight="1" x14ac:dyDescent="0.35">
      <c r="G39" s="7"/>
      <c r="H39" s="13"/>
      <c r="I39" s="119"/>
      <c r="J39" s="123"/>
      <c r="L39" s="4"/>
      <c r="M39" s="51"/>
      <c r="O39" s="4"/>
      <c r="P39" s="51"/>
      <c r="Q39" s="13"/>
      <c r="R39" s="13"/>
      <c r="S39" s="13"/>
      <c r="T39" s="4"/>
    </row>
    <row r="40" spans="2:20" ht="30.25" customHeight="1" x14ac:dyDescent="0.35">
      <c r="B40" s="278" t="s">
        <v>0</v>
      </c>
      <c r="C40" s="279"/>
      <c r="D40" s="280"/>
      <c r="E40" s="175"/>
      <c r="F40" s="175"/>
      <c r="G40" s="176"/>
      <c r="H40" s="13"/>
      <c r="I40" s="119"/>
      <c r="J40" s="123"/>
      <c r="L40" s="4"/>
      <c r="M40" s="51"/>
      <c r="O40" s="4"/>
      <c r="P40" s="51"/>
      <c r="Q40" s="13"/>
      <c r="R40" s="13"/>
      <c r="S40" s="13"/>
      <c r="T40" s="4"/>
    </row>
    <row r="41" spans="2:20" ht="30.25" customHeight="1" x14ac:dyDescent="0.35">
      <c r="B41" s="172"/>
      <c r="C41" s="173"/>
      <c r="D41" s="174"/>
      <c r="E41" s="174"/>
      <c r="F41" s="281"/>
      <c r="G41" s="282"/>
      <c r="H41" s="13"/>
      <c r="I41" s="119"/>
      <c r="J41" s="124"/>
      <c r="K41" s="152"/>
      <c r="L41" s="4"/>
      <c r="M41" s="51"/>
      <c r="O41" s="4"/>
      <c r="P41" s="51"/>
      <c r="Q41" s="13"/>
      <c r="R41" s="13"/>
      <c r="S41" s="13"/>
      <c r="T41" s="4"/>
    </row>
    <row r="42" spans="2:20" ht="30.25" customHeight="1" x14ac:dyDescent="0.35">
      <c r="B42" s="275" t="s">
        <v>148</v>
      </c>
      <c r="C42" s="287"/>
      <c r="D42" s="163" t="str">
        <f>IF(ISERROR(D50-D48),"",IF(D50-D48&lt;0,0,D50-D48))</f>
        <v/>
      </c>
      <c r="E42" s="294" t="s">
        <v>149</v>
      </c>
      <c r="F42" s="294"/>
      <c r="G42" s="294"/>
      <c r="H42" s="6"/>
      <c r="I42" s="119"/>
      <c r="J42" s="123"/>
      <c r="L42" s="4"/>
      <c r="M42" s="51"/>
      <c r="O42" s="4"/>
      <c r="P42" s="51"/>
      <c r="Q42" s="13"/>
      <c r="R42" s="13"/>
      <c r="S42" s="13"/>
      <c r="T42" s="4"/>
    </row>
    <row r="43" spans="2:20" ht="30.25" customHeight="1" x14ac:dyDescent="0.35">
      <c r="B43" s="295"/>
      <c r="C43" s="295"/>
      <c r="D43" s="295"/>
      <c r="E43" s="295"/>
      <c r="F43" s="295"/>
      <c r="G43" s="295"/>
      <c r="H43" s="13"/>
      <c r="I43" s="121"/>
      <c r="J43" s="123"/>
      <c r="L43" s="4"/>
      <c r="M43" s="51"/>
      <c r="O43" s="4"/>
      <c r="P43" s="51"/>
      <c r="Q43" s="13"/>
      <c r="R43" s="13"/>
      <c r="S43" s="13"/>
      <c r="T43" s="4"/>
    </row>
    <row r="44" spans="2:20" ht="30.25" customHeight="1" x14ac:dyDescent="0.35">
      <c r="B44" s="226" t="s">
        <v>182</v>
      </c>
      <c r="C44" s="227"/>
      <c r="D44" s="157">
        <f>IF(ISERROR((D22-D24-D25)*H30*D32),0,(D22-D24-D25)*H30*D32)</f>
        <v>0</v>
      </c>
      <c r="E44" s="296" t="s">
        <v>3</v>
      </c>
      <c r="F44" s="296"/>
      <c r="G44" s="296"/>
      <c r="H44" s="13"/>
      <c r="I44" s="119"/>
      <c r="J44" s="124"/>
      <c r="L44" s="4"/>
      <c r="M44" s="51"/>
      <c r="O44" s="4"/>
      <c r="P44" s="51"/>
      <c r="Q44" s="13"/>
      <c r="R44" s="13"/>
      <c r="S44" s="13"/>
      <c r="T44" s="4"/>
    </row>
    <row r="45" spans="2:20" ht="30.25" customHeight="1" x14ac:dyDescent="0.35">
      <c r="B45" s="228"/>
      <c r="C45" s="229"/>
      <c r="D45" s="157">
        <f>IF(ISERROR((G19-D22-D23)*H29*D31),0,(G19-D22-D23)*H29*D31)</f>
        <v>0</v>
      </c>
      <c r="E45" s="296" t="s">
        <v>2</v>
      </c>
      <c r="F45" s="296"/>
      <c r="G45" s="296"/>
      <c r="H45" s="13"/>
      <c r="I45" s="119"/>
      <c r="J45" s="123"/>
      <c r="L45" s="4"/>
      <c r="M45" s="51"/>
      <c r="O45" s="4"/>
      <c r="P45" s="51"/>
      <c r="Q45" s="13"/>
      <c r="R45" s="13"/>
      <c r="S45" s="13"/>
      <c r="T45" s="4"/>
    </row>
    <row r="46" spans="2:20" ht="30.25" customHeight="1" x14ac:dyDescent="0.35">
      <c r="B46" s="230"/>
      <c r="C46" s="231"/>
      <c r="D46" s="171">
        <f>IF(ISERROR(D45+D44),"",D45+D44)</f>
        <v>0</v>
      </c>
      <c r="E46" s="297" t="s">
        <v>1</v>
      </c>
      <c r="F46" s="297"/>
      <c r="G46" s="297"/>
      <c r="H46" s="13"/>
      <c r="I46" s="119"/>
      <c r="J46" s="123"/>
      <c r="L46" s="4"/>
      <c r="M46" s="51"/>
      <c r="O46" s="4"/>
      <c r="P46" s="51"/>
      <c r="Q46" s="13"/>
      <c r="R46" s="13"/>
      <c r="S46" s="13"/>
      <c r="T46" s="4"/>
    </row>
    <row r="47" spans="2:20" ht="30.25" customHeight="1" x14ac:dyDescent="0.35">
      <c r="B47" s="288"/>
      <c r="C47" s="289"/>
      <c r="D47" s="289"/>
      <c r="E47" s="289"/>
      <c r="F47" s="289"/>
      <c r="G47" s="290"/>
      <c r="I47" s="50"/>
      <c r="J47" s="51"/>
      <c r="K47" s="113"/>
      <c r="L47" s="50"/>
      <c r="M47" s="51"/>
      <c r="Q47" s="13"/>
    </row>
    <row r="48" spans="2:20" ht="30.25" customHeight="1" x14ac:dyDescent="0.35">
      <c r="B48" s="232" t="s">
        <v>147</v>
      </c>
      <c r="C48" s="232"/>
      <c r="D48" s="171">
        <f>D33*(D26+D27+D28)</f>
        <v>0</v>
      </c>
      <c r="E48" s="233" t="s">
        <v>149</v>
      </c>
      <c r="F48" s="233"/>
      <c r="G48" s="233"/>
    </row>
    <row r="49" spans="2:17" ht="30.25" customHeight="1" x14ac:dyDescent="0.35">
      <c r="B49" s="291"/>
      <c r="C49" s="292"/>
      <c r="D49" s="292"/>
      <c r="E49" s="292"/>
      <c r="F49" s="292"/>
      <c r="G49" s="293"/>
    </row>
    <row r="50" spans="2:17" ht="30.25" customHeight="1" x14ac:dyDescent="0.35">
      <c r="B50" s="276" t="s">
        <v>120</v>
      </c>
      <c r="C50" s="277"/>
      <c r="D50" s="163" t="str">
        <f>IF(ISERROR(IF(D7=1,IF(D48/D46&lt;=0.75,D46,D48/0.75),D46)),"",IF(D7=1,IF(D48/D46&lt;=0.75,D46,D48/0.75),D46))</f>
        <v/>
      </c>
      <c r="E50" s="286" t="s">
        <v>149</v>
      </c>
      <c r="F50" s="286"/>
      <c r="G50" s="286"/>
    </row>
    <row r="51" spans="2:17" ht="30.25" customHeight="1" x14ac:dyDescent="0.35">
      <c r="B51" s="291"/>
      <c r="C51" s="292"/>
      <c r="D51" s="292"/>
      <c r="E51" s="292"/>
      <c r="F51" s="292"/>
      <c r="G51" s="293"/>
    </row>
    <row r="52" spans="2:17" ht="30.25" hidden="1" customHeight="1" x14ac:dyDescent="0.3">
      <c r="I52" s="13"/>
      <c r="K52" s="113"/>
      <c r="L52" s="50"/>
      <c r="M52" s="50"/>
      <c r="N52" s="50"/>
      <c r="O52" s="50"/>
      <c r="P52" s="50"/>
    </row>
    <row r="53" spans="2:17" ht="44.5" customHeight="1" x14ac:dyDescent="0.3">
      <c r="B53" s="149"/>
      <c r="C53" s="160"/>
      <c r="D53" s="160"/>
      <c r="E53" s="160"/>
      <c r="F53" s="160"/>
      <c r="G53" s="149"/>
      <c r="I53" s="13"/>
      <c r="K53" s="113"/>
      <c r="L53" s="50"/>
      <c r="M53" s="50"/>
      <c r="N53" s="50"/>
      <c r="O53" s="50"/>
      <c r="P53" s="50"/>
    </row>
    <row r="54" spans="2:17" ht="30.25" customHeight="1" x14ac:dyDescent="0.3">
      <c r="B54" s="283" t="s">
        <v>150</v>
      </c>
      <c r="C54" s="284"/>
      <c r="D54" s="285"/>
      <c r="E54" s="183"/>
      <c r="F54" s="182"/>
      <c r="G54" s="182"/>
      <c r="I54" s="13"/>
      <c r="K54" s="113"/>
      <c r="L54" s="50"/>
      <c r="M54" s="50"/>
      <c r="N54" s="50"/>
      <c r="O54" s="50"/>
      <c r="P54" s="50"/>
    </row>
    <row r="55" spans="2:17" ht="30.25" customHeight="1" x14ac:dyDescent="0.3">
      <c r="B55" s="225" t="str">
        <f>Calculations!K3</f>
        <v>Commodity</v>
      </c>
      <c r="C55" s="225"/>
      <c r="D55" s="177" t="str">
        <f>Calculations!L3</f>
        <v>Wgen,i</v>
      </c>
      <c r="E55" s="181" t="str">
        <f>Calculations!M3</f>
        <v>CODcon,i</v>
      </c>
      <c r="F55" s="156" t="s">
        <v>186</v>
      </c>
      <c r="G55" s="182"/>
      <c r="I55" s="50"/>
      <c r="K55" s="113"/>
      <c r="L55" s="13"/>
      <c r="M55" s="50"/>
      <c r="N55" s="50"/>
      <c r="O55" s="50"/>
      <c r="P55" s="50"/>
    </row>
    <row r="56" spans="2:17" ht="30.25" customHeight="1" x14ac:dyDescent="0.3">
      <c r="B56" s="224" t="str">
        <f>Calculations!K4</f>
        <v>Dairy product (ANZSIC code 113)</v>
      </c>
      <c r="C56" s="224"/>
      <c r="D56" s="178">
        <f>Calculations!L4</f>
        <v>5.7</v>
      </c>
      <c r="E56" s="178">
        <f>Calculations!M4</f>
        <v>0.9</v>
      </c>
      <c r="F56" s="158" t="s">
        <v>32</v>
      </c>
      <c r="G56" s="182"/>
      <c r="I56" s="50"/>
      <c r="K56" s="113"/>
      <c r="L56" s="13"/>
      <c r="M56" s="50"/>
      <c r="N56" s="50"/>
      <c r="O56" s="50"/>
      <c r="P56" s="50"/>
    </row>
    <row r="57" spans="2:17" ht="30.25" customHeight="1" x14ac:dyDescent="0.3">
      <c r="B57" s="224" t="str">
        <f>Calculations!K5</f>
        <v>Pulp, paper and paperboard (ANZSIC code 1510)</v>
      </c>
      <c r="C57" s="224"/>
      <c r="D57" s="178">
        <f>Calculations!L5</f>
        <v>26.7</v>
      </c>
      <c r="E57" s="178">
        <f>Calculations!M5</f>
        <v>0.4</v>
      </c>
      <c r="F57" s="158" t="s">
        <v>32</v>
      </c>
      <c r="G57" s="182"/>
      <c r="I57" s="50"/>
      <c r="K57" s="113"/>
      <c r="L57" s="13"/>
      <c r="M57" s="50"/>
      <c r="N57" s="50"/>
      <c r="O57" s="50"/>
      <c r="P57" s="50"/>
    </row>
    <row r="58" spans="2:17" ht="35.15" customHeight="1" x14ac:dyDescent="0.3">
      <c r="B58" s="224" t="str">
        <f>Calculations!K6</f>
        <v>Meat and poultry (ANZSIC codes 1111 and 1112)</v>
      </c>
      <c r="C58" s="224"/>
      <c r="D58" s="178">
        <f>Calculations!L6</f>
        <v>13.7</v>
      </c>
      <c r="E58" s="178">
        <f>Calculations!M6</f>
        <v>6.1</v>
      </c>
      <c r="F58" s="158" t="s">
        <v>33</v>
      </c>
      <c r="G58" s="182"/>
      <c r="I58" s="50"/>
      <c r="K58" s="113"/>
      <c r="L58" s="13"/>
      <c r="M58" s="50"/>
      <c r="N58" s="50"/>
      <c r="O58" s="50"/>
      <c r="P58" s="50"/>
    </row>
    <row r="59" spans="2:17" ht="30.25" customHeight="1" x14ac:dyDescent="0.3">
      <c r="B59" s="224" t="str">
        <f>Calculations!K7</f>
        <v>Organic chemicals (ANZSIC codes 18 and 19)</v>
      </c>
      <c r="C59" s="224"/>
      <c r="D59" s="178">
        <f>Calculations!L7</f>
        <v>67</v>
      </c>
      <c r="E59" s="178">
        <f>Calculations!M7</f>
        <v>3</v>
      </c>
      <c r="F59" s="158" t="s">
        <v>32</v>
      </c>
      <c r="G59" s="182"/>
      <c r="I59" s="50"/>
      <c r="K59" s="113"/>
      <c r="L59" s="13"/>
      <c r="M59" s="50"/>
      <c r="N59" s="50"/>
      <c r="O59" s="50"/>
      <c r="P59" s="50"/>
    </row>
    <row r="60" spans="2:17" ht="30.25" customHeight="1" x14ac:dyDescent="0.3">
      <c r="B60" s="224" t="str">
        <f>Calculations!K8</f>
        <v>Raw sugar (ANZSIC code 1181)</v>
      </c>
      <c r="C60" s="224"/>
      <c r="D60" s="178">
        <f>Calculations!L8</f>
        <v>0.4</v>
      </c>
      <c r="E60" s="178">
        <f>Calculations!M8</f>
        <v>3.8</v>
      </c>
      <c r="F60" s="158" t="s">
        <v>34</v>
      </c>
      <c r="G60" s="182"/>
      <c r="I60" s="50"/>
      <c r="K60" s="113"/>
      <c r="L60" s="13"/>
      <c r="M60" s="50"/>
      <c r="N60" s="50"/>
      <c r="O60" s="50"/>
      <c r="P60" s="50"/>
    </row>
    <row r="61" spans="2:17" ht="30.25" customHeight="1" x14ac:dyDescent="0.35">
      <c r="B61" s="224" t="str">
        <f>Calculations!K9</f>
        <v>Beer (ANZSIC code 1212)</v>
      </c>
      <c r="C61" s="224"/>
      <c r="D61" s="178">
        <f>Calculations!L9</f>
        <v>5.3</v>
      </c>
      <c r="E61" s="178">
        <f>Calculations!M9</f>
        <v>6</v>
      </c>
      <c r="F61" s="158" t="s">
        <v>32</v>
      </c>
      <c r="G61" s="182"/>
      <c r="I61" s="50"/>
      <c r="J61" s="51"/>
      <c r="K61" s="113"/>
      <c r="L61" s="50"/>
      <c r="M61" s="51"/>
      <c r="Q61" s="13"/>
    </row>
    <row r="62" spans="2:17" ht="30.25" customHeight="1" x14ac:dyDescent="0.35">
      <c r="B62" s="224" t="str">
        <f>Calculations!K10</f>
        <v>Wine and other alcoholic beverage (ANZSIC code 1214)</v>
      </c>
      <c r="C62" s="224"/>
      <c r="D62" s="178">
        <f>Calculations!L10</f>
        <v>23</v>
      </c>
      <c r="E62" s="178">
        <f>Calculations!M10</f>
        <v>1.5</v>
      </c>
      <c r="F62" s="158" t="s">
        <v>32</v>
      </c>
      <c r="G62" s="182"/>
      <c r="I62" s="50"/>
      <c r="J62" s="51"/>
      <c r="K62" s="113"/>
      <c r="L62" s="50"/>
      <c r="M62" s="51"/>
      <c r="Q62" s="13"/>
    </row>
    <row r="63" spans="2:17" ht="30.25" customHeight="1" x14ac:dyDescent="0.35">
      <c r="B63" s="224" t="str">
        <f>Calculations!K11</f>
        <v>Fruit and vegetable (ANZSIC code 1140)</v>
      </c>
      <c r="C63" s="224"/>
      <c r="D63" s="158">
        <f>Calculations!L11</f>
        <v>20</v>
      </c>
      <c r="E63" s="158">
        <f>Calculations!M11</f>
        <v>0.2</v>
      </c>
      <c r="F63" s="158" t="s">
        <v>32</v>
      </c>
      <c r="G63" s="182"/>
      <c r="I63" s="50"/>
      <c r="J63" s="51"/>
      <c r="K63" s="113"/>
      <c r="L63" s="50"/>
      <c r="M63" s="51"/>
      <c r="Q63" s="13"/>
    </row>
    <row r="64" spans="2:17" hidden="1" x14ac:dyDescent="0.35">
      <c r="B64" s="149"/>
      <c r="C64" s="160"/>
      <c r="D64" s="160"/>
      <c r="E64" s="160"/>
      <c r="F64" s="160"/>
      <c r="G64" s="149"/>
    </row>
    <row r="65" spans="2:7" hidden="1" x14ac:dyDescent="0.35">
      <c r="B65" s="149"/>
      <c r="C65" s="160"/>
      <c r="D65" s="160"/>
      <c r="E65" s="160"/>
      <c r="F65" s="160"/>
      <c r="G65" s="149"/>
    </row>
    <row r="66" spans="2:7" hidden="1" x14ac:dyDescent="0.35">
      <c r="B66" s="149"/>
      <c r="C66" s="160"/>
      <c r="D66" s="160"/>
      <c r="E66" s="160"/>
      <c r="F66" s="160"/>
      <c r="G66" s="149"/>
    </row>
    <row r="67" spans="2:7" hidden="1" x14ac:dyDescent="0.35"/>
    <row r="68" spans="2:7" hidden="1" x14ac:dyDescent="0.35"/>
    <row r="69" spans="2:7" hidden="1" x14ac:dyDescent="0.35"/>
  </sheetData>
  <sheetProtection algorithmName="SHA-256" hashValue="iZVCJ/RC9XfgHs+AoHMtJT1CJLtFF2kqXhuRQcpMflQ=" saltValue="0eOAmTZwFfMP5CbsNekOVw==" spinCount="100000" sheet="1" selectLockedCells="1"/>
  <mergeCells count="72">
    <mergeCell ref="B40:D40"/>
    <mergeCell ref="F41:G41"/>
    <mergeCell ref="B54:D54"/>
    <mergeCell ref="E32:G32"/>
    <mergeCell ref="E33:G33"/>
    <mergeCell ref="E50:G50"/>
    <mergeCell ref="B42:C42"/>
    <mergeCell ref="B47:G47"/>
    <mergeCell ref="B49:G49"/>
    <mergeCell ref="B51:G51"/>
    <mergeCell ref="B50:C50"/>
    <mergeCell ref="E42:G42"/>
    <mergeCell ref="B43:G43"/>
    <mergeCell ref="E44:G44"/>
    <mergeCell ref="E45:G45"/>
    <mergeCell ref="E46:G46"/>
    <mergeCell ref="B27:C27"/>
    <mergeCell ref="B28:C28"/>
    <mergeCell ref="E27:G27"/>
    <mergeCell ref="E28:G28"/>
    <mergeCell ref="E29:G29"/>
    <mergeCell ref="B29:C29"/>
    <mergeCell ref="E30:G30"/>
    <mergeCell ref="E31:G31"/>
    <mergeCell ref="B31:C31"/>
    <mergeCell ref="B32:C32"/>
    <mergeCell ref="B33:C33"/>
    <mergeCell ref="B30:C30"/>
    <mergeCell ref="B22:C22"/>
    <mergeCell ref="B23:C23"/>
    <mergeCell ref="E22:G22"/>
    <mergeCell ref="E23:G23"/>
    <mergeCell ref="E20:G20"/>
    <mergeCell ref="B24:C24"/>
    <mergeCell ref="E24:G24"/>
    <mergeCell ref="B25:C25"/>
    <mergeCell ref="E25:G25"/>
    <mergeCell ref="B26:C26"/>
    <mergeCell ref="E26:G26"/>
    <mergeCell ref="C1:F1"/>
    <mergeCell ref="B7:C7"/>
    <mergeCell ref="B6:C6"/>
    <mergeCell ref="E6:G6"/>
    <mergeCell ref="E7:G7"/>
    <mergeCell ref="B5:D5"/>
    <mergeCell ref="B2:F2"/>
    <mergeCell ref="B8:F8"/>
    <mergeCell ref="E21:G21"/>
    <mergeCell ref="B10:C10"/>
    <mergeCell ref="B11:C11"/>
    <mergeCell ref="B12:C12"/>
    <mergeCell ref="B13:C13"/>
    <mergeCell ref="B19:C19"/>
    <mergeCell ref="B14:C14"/>
    <mergeCell ref="B15:C15"/>
    <mergeCell ref="B16:C16"/>
    <mergeCell ref="B17:C17"/>
    <mergeCell ref="B18:C18"/>
    <mergeCell ref="E19:F19"/>
    <mergeCell ref="B21:C21"/>
    <mergeCell ref="B44:C46"/>
    <mergeCell ref="B48:C48"/>
    <mergeCell ref="E48:G48"/>
    <mergeCell ref="B60:C60"/>
    <mergeCell ref="B61:C61"/>
    <mergeCell ref="B62:C62"/>
    <mergeCell ref="B63:C63"/>
    <mergeCell ref="B55:C55"/>
    <mergeCell ref="B56:C56"/>
    <mergeCell ref="B57:C57"/>
    <mergeCell ref="B58:C58"/>
    <mergeCell ref="B59:C59"/>
  </mergeCells>
  <conditionalFormatting sqref="E6:G6">
    <cfRule type="cellIs" dxfId="11" priority="11" operator="equal">
      <formula>"Incorrect reporting period selected"</formula>
    </cfRule>
    <cfRule type="cellIs" dxfId="10" priority="12" operator="equal">
      <formula>"Enter reporting period year ending (e.g. for 2017-2018 enter 2018)"</formula>
    </cfRule>
  </conditionalFormatting>
  <conditionalFormatting sqref="E7:G7">
    <cfRule type="cellIs" dxfId="9" priority="10" operator="equal">
      <formula>"Please select reporting method"</formula>
    </cfRule>
  </conditionalFormatting>
  <conditionalFormatting sqref="E21:G25">
    <cfRule type="cellIs" dxfId="8" priority="9" operator="equal">
      <formula>"Please enter required information"</formula>
    </cfRule>
  </conditionalFormatting>
  <conditionalFormatting sqref="E23:G23">
    <cfRule type="cellIs" dxfId="7" priority="8" operator="equal">
      <formula>"CODeff should be &lt; CODw,i - CODsl"</formula>
    </cfRule>
  </conditionalFormatting>
  <conditionalFormatting sqref="E24:G24">
    <cfRule type="cellIs" dxfId="6" priority="7" operator="equal">
      <formula>"CODtrl + CODtro should be &lt; CODsl"</formula>
    </cfRule>
  </conditionalFormatting>
  <conditionalFormatting sqref="E25:G25">
    <cfRule type="cellIs" dxfId="5" priority="6" operator="equal">
      <formula>"CODtrl + CODtro should be &lt; CODsl"</formula>
    </cfRule>
  </conditionalFormatting>
  <conditionalFormatting sqref="E26:G28">
    <cfRule type="cellIs" dxfId="4" priority="5" operator="equal">
      <formula>"Please enter required information"</formula>
    </cfRule>
  </conditionalFormatting>
  <conditionalFormatting sqref="E28:G33">
    <cfRule type="cellIs" dxfId="3" priority="4" operator="equal">
      <formula>"Please enter required information"</formula>
    </cfRule>
  </conditionalFormatting>
  <conditionalFormatting sqref="D19:E19">
    <cfRule type="cellIs" dxfId="2" priority="3" operator="equal">
      <formula>"Enter required data above"</formula>
    </cfRule>
  </conditionalFormatting>
  <conditionalFormatting sqref="E29:G30">
    <cfRule type="cellIs" dxfId="1" priority="1" operator="equal">
      <formula>"Please select from the drop down menu or enter your own value"</formula>
    </cfRule>
    <cfRule type="cellIs" dxfId="0" priority="2" operator="equal">
      <formula>"First, enter data for at least one commodity"</formula>
    </cfRule>
  </conditionalFormatting>
  <dataValidations count="12">
    <dataValidation type="list" allowBlank="1" showInputMessage="1" sqref="D30" xr:uid="{00000000-0002-0000-0200-000000000000}">
      <formula1>IPCC_default_treatment_types</formula1>
    </dataValidation>
    <dataValidation showInputMessage="1" sqref="D31:D32" xr:uid="{00000000-0002-0000-0200-000001000000}"/>
    <dataValidation type="list" allowBlank="1" showInputMessage="1" showErrorMessage="1" errorTitle=" " error="Method must be entered as a whole number. Methods 1, 2, or 3 only available" promptTitle=" " prompt="Select from drop-down list" sqref="D7" xr:uid="{00000000-0002-0000-0200-000002000000}">
      <formula1>"1, 2, 3"</formula1>
    </dataValidation>
    <dataValidation type="decimal" operator="greaterThanOrEqual" allowBlank="1" showInputMessage="1" showErrorMessage="1" error="Input must be a positive numerical value" sqref="D23:D28" xr:uid="{00000000-0002-0000-0200-000003000000}">
      <formula1>0</formula1>
    </dataValidation>
    <dataValidation type="list" allowBlank="1" showInputMessage="1" error="Input must bebetween 0 and 1." sqref="D29" xr:uid="{00000000-0002-0000-0200-000004000000}">
      <formula1>IPCC_default_treatment_types</formula1>
    </dataValidation>
    <dataValidation type="decimal" allowBlank="1" showInputMessage="1" showErrorMessage="1" error="Input must be between 0 to 1" sqref="D21" xr:uid="{00000000-0002-0000-0200-000005000000}">
      <formula1>0</formula1>
      <formula2>1</formula2>
    </dataValidation>
    <dataValidation type="whole" operator="greaterThanOrEqual" allowBlank="1" showInputMessage="1" showErrorMessage="1" errorTitle="Wrong year entered" error="This calculator is not suitable for earlier reporting periods. Please contact the Clean Energy Regulator for an earlier version of the waste water calculator" sqref="D6" xr:uid="{00000000-0002-0000-0200-000006000000}">
      <formula1>2016</formula1>
    </dataValidation>
    <dataValidation allowBlank="1" showInputMessage="1" showErrorMessage="1" errorTitle=" " error="Method must be entered as a whole number. Methods 1, 2, or 3 only available" promptTitle=" " prompt="Select from drop-down list" sqref="E7:G7" xr:uid="{00000000-0002-0000-0200-000007000000}"/>
    <dataValidation allowBlank="1" showInputMessage="1" showErrorMessage="1" error="Enter year as a whole number between 2009 and 2015" sqref="E6:G6" xr:uid="{00000000-0002-0000-0200-000008000000}"/>
    <dataValidation allowBlank="1" showInputMessage="1" showErrorMessage="1" error="Input must be between 0 to 1" sqref="E21:G21" xr:uid="{00000000-0002-0000-0200-000009000000}"/>
    <dataValidation operator="greaterThanOrEqual" allowBlank="1" showInputMessage="1" showErrorMessage="1" error="Input must be a positive numerical value" sqref="E23:G25 D11:F18" xr:uid="{00000000-0002-0000-0200-00000A000000}"/>
    <dataValidation type="decimal" operator="greaterThan" allowBlank="1" showInputMessage="1" showErrorMessage="1" sqref="G11:G18" xr:uid="{00000000-0002-0000-0200-00000B000000}">
      <formula1>0</formula1>
    </dataValidation>
  </dataValidations>
  <printOptions gridLines="1"/>
  <pageMargins left="0.70866141732283472" right="0.70866141732283472" top="0.74803149606299213" bottom="0.74803149606299213" header="0.31496062992125984" footer="0.31496062992125984"/>
  <pageSetup paperSize="8" scale="67" orientation="portrait" r:id="rId1"/>
  <headerFooter>
    <oddHeader>&amp;LNGER wastewater (Industrial) calculator 1.5 Sheet: 3&amp;R&amp;A</oddHeader>
    <oddFooter>&amp;L© Commonwealth of Australia (2014) Clean Energy Regulator.&amp;RISBN: 978-1-921299-80-3</oddFooter>
  </headerFooter>
  <rowBreaks count="1" manualBreakCount="1">
    <brk id="33" min="1" max="5"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B1:W108"/>
  <sheetViews>
    <sheetView showRowColHeaders="0" zoomScaleNormal="100" workbookViewId="0"/>
  </sheetViews>
  <sheetFormatPr defaultColWidth="9.1796875" defaultRowHeight="12.5" zeroHeight="1" x14ac:dyDescent="0.25"/>
  <cols>
    <col min="1" max="13" width="9.7265625" style="113" customWidth="1"/>
    <col min="14" max="14" width="9.81640625" style="113" customWidth="1"/>
    <col min="15" max="15" width="13.7265625" style="113" customWidth="1"/>
    <col min="16" max="21" width="9.7265625" style="113" customWidth="1"/>
    <col min="22" max="16384" width="9.1796875" style="113"/>
  </cols>
  <sheetData>
    <row r="1" spans="2:15" ht="137.25" customHeight="1" x14ac:dyDescent="0.25"/>
    <row r="2" spans="2:15" ht="30.25" customHeight="1" x14ac:dyDescent="0.25">
      <c r="B2" s="300" t="s">
        <v>151</v>
      </c>
      <c r="C2" s="301"/>
      <c r="D2" s="301"/>
      <c r="E2" s="301"/>
      <c r="F2" s="301"/>
      <c r="G2" s="301"/>
      <c r="H2" s="301"/>
      <c r="I2" s="301"/>
      <c r="J2" s="301"/>
      <c r="K2" s="301"/>
      <c r="L2" s="301"/>
      <c r="M2" s="301"/>
      <c r="N2" s="301"/>
      <c r="O2" s="301"/>
    </row>
    <row r="3" spans="2:15" ht="14.5" x14ac:dyDescent="0.35">
      <c r="B3" s="201"/>
      <c r="C3" s="302" t="s">
        <v>185</v>
      </c>
      <c r="D3" s="303"/>
      <c r="E3" s="303"/>
      <c r="F3" s="303"/>
      <c r="G3" s="303"/>
      <c r="H3" s="303"/>
      <c r="I3" s="303"/>
      <c r="J3" s="303"/>
      <c r="K3" s="303"/>
      <c r="L3" s="303"/>
      <c r="M3" s="303"/>
      <c r="N3" s="303"/>
      <c r="O3" s="200"/>
    </row>
    <row r="4" spans="2:15" ht="14.5" hidden="1" x14ac:dyDescent="0.35">
      <c r="B4" s="201"/>
      <c r="C4" s="200"/>
      <c r="D4" s="200"/>
      <c r="E4" s="200"/>
      <c r="F4" s="200"/>
      <c r="G4" s="200"/>
      <c r="H4" s="200"/>
      <c r="I4" s="200"/>
      <c r="J4" s="200"/>
      <c r="K4" s="200"/>
      <c r="L4" s="200"/>
      <c r="M4" s="200"/>
      <c r="N4" s="200"/>
      <c r="O4" s="200"/>
    </row>
    <row r="5" spans="2:15" ht="20.25" customHeight="1" x14ac:dyDescent="0.35">
      <c r="B5" s="308" t="s">
        <v>152</v>
      </c>
      <c r="C5" s="308"/>
      <c r="D5" s="308"/>
      <c r="E5" s="308"/>
      <c r="F5" s="308"/>
      <c r="G5" s="308"/>
      <c r="H5" s="308"/>
      <c r="I5" s="308"/>
      <c r="J5" s="308"/>
      <c r="K5" s="308"/>
      <c r="L5" s="308"/>
      <c r="M5" s="308"/>
      <c r="N5" s="308"/>
      <c r="O5" s="308"/>
    </row>
    <row r="6" spans="2:15" ht="16.5" customHeight="1" x14ac:dyDescent="0.25">
      <c r="C6" s="189"/>
      <c r="D6" s="311"/>
      <c r="E6" s="311"/>
      <c r="F6" s="311"/>
      <c r="G6" s="311"/>
      <c r="H6" s="311"/>
      <c r="I6" s="311"/>
      <c r="J6" s="311"/>
      <c r="K6" s="311"/>
      <c r="L6" s="311"/>
      <c r="M6" s="311"/>
      <c r="N6" s="311"/>
    </row>
    <row r="7" spans="2:15" x14ac:dyDescent="0.25"/>
    <row r="8" spans="2:15" x14ac:dyDescent="0.25"/>
    <row r="9" spans="2:15" x14ac:dyDescent="0.25"/>
    <row r="10" spans="2:15" x14ac:dyDescent="0.25"/>
    <row r="11" spans="2:15" ht="12.75" customHeight="1" x14ac:dyDescent="0.25"/>
    <row r="12" spans="2:15" ht="18.75" customHeight="1" x14ac:dyDescent="0.25"/>
    <row r="13" spans="2:15" x14ac:dyDescent="0.25"/>
    <row r="14" spans="2:15" x14ac:dyDescent="0.25"/>
    <row r="15" spans="2:15" x14ac:dyDescent="0.25"/>
    <row r="16" spans="2:15" x14ac:dyDescent="0.25"/>
    <row r="17" spans="2:15" x14ac:dyDescent="0.25"/>
    <row r="18" spans="2:15" x14ac:dyDescent="0.25"/>
    <row r="19" spans="2:15" x14ac:dyDescent="0.25"/>
    <row r="20" spans="2:15" x14ac:dyDescent="0.25"/>
    <row r="21" spans="2:15" x14ac:dyDescent="0.25"/>
    <row r="22" spans="2:15" x14ac:dyDescent="0.25"/>
    <row r="23" spans="2:15" x14ac:dyDescent="0.25"/>
    <row r="24" spans="2:15" x14ac:dyDescent="0.25"/>
    <row r="25" spans="2:15" x14ac:dyDescent="0.25"/>
    <row r="26" spans="2:15" x14ac:dyDescent="0.25"/>
    <row r="27" spans="2:15" x14ac:dyDescent="0.25"/>
    <row r="28" spans="2:15" ht="15.75" customHeight="1" x14ac:dyDescent="0.3">
      <c r="B28" s="309" t="s">
        <v>155</v>
      </c>
      <c r="C28" s="309"/>
      <c r="D28" s="309"/>
      <c r="E28" s="309"/>
      <c r="F28" s="309"/>
      <c r="G28" s="309"/>
      <c r="H28" s="309"/>
      <c r="I28" s="309"/>
      <c r="J28" s="309"/>
      <c r="K28" s="309"/>
      <c r="L28" s="309"/>
      <c r="M28" s="309"/>
      <c r="N28" s="309"/>
      <c r="O28" s="309"/>
    </row>
    <row r="29" spans="2:15" ht="10.5" customHeight="1" x14ac:dyDescent="0.25"/>
    <row r="30" spans="2:15" ht="19.5" customHeight="1" x14ac:dyDescent="0.25"/>
    <row r="31" spans="2:15" x14ac:dyDescent="0.25"/>
    <row r="32" spans="2:15" hidden="1" x14ac:dyDescent="0.25"/>
    <row r="33" spans="2:15" x14ac:dyDescent="0.25"/>
    <row r="34" spans="2:15" x14ac:dyDescent="0.25"/>
    <row r="35" spans="2:15" x14ac:dyDescent="0.25"/>
    <row r="36" spans="2:15" ht="14.5" x14ac:dyDescent="0.35">
      <c r="B36" s="310" t="s">
        <v>153</v>
      </c>
      <c r="C36" s="310"/>
      <c r="D36" s="310"/>
      <c r="E36" s="310"/>
      <c r="F36" s="310"/>
      <c r="G36" s="310"/>
      <c r="H36" s="310"/>
      <c r="I36" s="310"/>
      <c r="J36" s="310"/>
      <c r="K36" s="310"/>
      <c r="L36" s="310"/>
      <c r="M36" s="310"/>
      <c r="N36" s="310"/>
      <c r="O36" s="310"/>
    </row>
    <row r="37" spans="2:15" x14ac:dyDescent="0.25"/>
    <row r="38" spans="2:15" ht="18.5" hidden="1" x14ac:dyDescent="0.35">
      <c r="C38" s="190"/>
      <c r="H38" s="191"/>
    </row>
    <row r="39" spans="2:15" ht="30.25" customHeight="1" x14ac:dyDescent="0.25">
      <c r="B39" s="192" t="s">
        <v>107</v>
      </c>
      <c r="C39" s="307" t="s">
        <v>108</v>
      </c>
      <c r="D39" s="307"/>
      <c r="E39" s="307"/>
      <c r="F39" s="307"/>
      <c r="G39" s="307"/>
      <c r="H39" s="307"/>
      <c r="I39" s="307"/>
      <c r="J39" s="307"/>
      <c r="K39" s="307"/>
      <c r="L39" s="307"/>
      <c r="M39" s="307"/>
      <c r="N39" s="307"/>
      <c r="O39" s="194" t="s">
        <v>154</v>
      </c>
    </row>
    <row r="40" spans="2:15" ht="30.25" customHeight="1" x14ac:dyDescent="0.25">
      <c r="B40" s="307"/>
      <c r="C40" s="304" t="s">
        <v>165</v>
      </c>
      <c r="D40" s="305"/>
      <c r="E40" s="305"/>
      <c r="F40" s="305"/>
      <c r="G40" s="305"/>
      <c r="H40" s="305"/>
      <c r="I40" s="305"/>
      <c r="J40" s="305"/>
      <c r="K40" s="305"/>
      <c r="L40" s="305"/>
      <c r="M40" s="305"/>
      <c r="N40" s="306"/>
      <c r="O40" s="196">
        <f>IF(ISBLANK('Facility input'!D7),"-", IF('Facility input'!D7&gt;1, "-", 'Facility input'!D11))</f>
        <v>0</v>
      </c>
    </row>
    <row r="41" spans="2:15" ht="30.25" customHeight="1" x14ac:dyDescent="0.25">
      <c r="B41" s="307"/>
      <c r="C41" s="304" t="s">
        <v>166</v>
      </c>
      <c r="D41" s="305"/>
      <c r="E41" s="305"/>
      <c r="F41" s="305"/>
      <c r="G41" s="305"/>
      <c r="H41" s="305"/>
      <c r="I41" s="305"/>
      <c r="J41" s="305"/>
      <c r="K41" s="305"/>
      <c r="L41" s="305"/>
      <c r="M41" s="305"/>
      <c r="N41" s="306"/>
      <c r="O41" s="196">
        <f>IF(ISBLANK('Facility input'!D7),"-", IF('Facility input'!D7&gt;1, "-", 'Facility input'!D12))</f>
        <v>0</v>
      </c>
    </row>
    <row r="42" spans="2:15" ht="30.25" customHeight="1" x14ac:dyDescent="0.25">
      <c r="B42" s="307"/>
      <c r="C42" s="304" t="s">
        <v>167</v>
      </c>
      <c r="D42" s="305"/>
      <c r="E42" s="305"/>
      <c r="F42" s="305"/>
      <c r="G42" s="305"/>
      <c r="H42" s="305"/>
      <c r="I42" s="305"/>
      <c r="J42" s="305"/>
      <c r="K42" s="305"/>
      <c r="L42" s="305"/>
      <c r="M42" s="305"/>
      <c r="N42" s="306"/>
      <c r="O42" s="196">
        <f>IF(ISBLANK('Facility input'!D7),"-", IF('Facility input'!D7&gt;1, "-", 'Facility input'!D13))</f>
        <v>0</v>
      </c>
    </row>
    <row r="43" spans="2:15" ht="30.25" customHeight="1" x14ac:dyDescent="0.25">
      <c r="B43" s="307"/>
      <c r="C43" s="304" t="s">
        <v>168</v>
      </c>
      <c r="D43" s="305"/>
      <c r="E43" s="305"/>
      <c r="F43" s="305"/>
      <c r="G43" s="305"/>
      <c r="H43" s="305"/>
      <c r="I43" s="305"/>
      <c r="J43" s="305"/>
      <c r="K43" s="305"/>
      <c r="L43" s="305"/>
      <c r="M43" s="305"/>
      <c r="N43" s="306"/>
      <c r="O43" s="196">
        <f>IF(ISBLANK('Facility input'!D7),"-", IF('Facility input'!D7&gt;1, "-", 'Facility input'!D14))</f>
        <v>0</v>
      </c>
    </row>
    <row r="44" spans="2:15" ht="30.25" customHeight="1" x14ac:dyDescent="0.25">
      <c r="B44" s="307"/>
      <c r="C44" s="304" t="s">
        <v>169</v>
      </c>
      <c r="D44" s="305"/>
      <c r="E44" s="305"/>
      <c r="F44" s="305"/>
      <c r="G44" s="305"/>
      <c r="H44" s="305"/>
      <c r="I44" s="305"/>
      <c r="J44" s="305"/>
      <c r="K44" s="305"/>
      <c r="L44" s="305"/>
      <c r="M44" s="305"/>
      <c r="N44" s="306"/>
      <c r="O44" s="196">
        <f>IF(ISBLANK('Facility input'!D7),"-", IF('Facility input'!D7&gt;1, "-", 'Facility input'!D15))</f>
        <v>0</v>
      </c>
    </row>
    <row r="45" spans="2:15" ht="30.25" customHeight="1" x14ac:dyDescent="0.25">
      <c r="B45" s="307"/>
      <c r="C45" s="304" t="s">
        <v>170</v>
      </c>
      <c r="D45" s="305"/>
      <c r="E45" s="305"/>
      <c r="F45" s="305"/>
      <c r="G45" s="305"/>
      <c r="H45" s="305"/>
      <c r="I45" s="305"/>
      <c r="J45" s="305"/>
      <c r="K45" s="305"/>
      <c r="L45" s="305"/>
      <c r="M45" s="305"/>
      <c r="N45" s="306"/>
      <c r="O45" s="196">
        <f>IF(ISBLANK('Facility input'!D7),"-", IF('Facility input'!D7&gt;1, "-", 'Facility input'!D16))</f>
        <v>0</v>
      </c>
    </row>
    <row r="46" spans="2:15" ht="30.25" customHeight="1" x14ac:dyDescent="0.25">
      <c r="B46" s="307"/>
      <c r="C46" s="304" t="s">
        <v>171</v>
      </c>
      <c r="D46" s="305"/>
      <c r="E46" s="305"/>
      <c r="F46" s="305"/>
      <c r="G46" s="305"/>
      <c r="H46" s="305"/>
      <c r="I46" s="305"/>
      <c r="J46" s="305"/>
      <c r="K46" s="305"/>
      <c r="L46" s="305"/>
      <c r="M46" s="305"/>
      <c r="N46" s="306"/>
      <c r="O46" s="196">
        <f>IF(ISBLANK('Facility input'!D7),"-", IF('Facility input'!D7&gt;1, "-", 'Facility input'!D17))</f>
        <v>0</v>
      </c>
    </row>
    <row r="47" spans="2:15" ht="30.25" customHeight="1" x14ac:dyDescent="0.25">
      <c r="B47" s="307"/>
      <c r="C47" s="304" t="s">
        <v>172</v>
      </c>
      <c r="D47" s="305"/>
      <c r="E47" s="305"/>
      <c r="F47" s="305"/>
      <c r="G47" s="305"/>
      <c r="H47" s="305"/>
      <c r="I47" s="305"/>
      <c r="J47" s="305"/>
      <c r="K47" s="305"/>
      <c r="L47" s="305"/>
      <c r="M47" s="305"/>
      <c r="N47" s="306"/>
      <c r="O47" s="196">
        <f>IF(ISBLANK('Facility input'!D7),"-", IF('Facility input'!D7&gt;1, "-", 'Facility input'!D18))</f>
        <v>0</v>
      </c>
    </row>
    <row r="48" spans="2:15" ht="30.25" customHeight="1" x14ac:dyDescent="0.25">
      <c r="B48" s="307"/>
      <c r="C48" s="304" t="s">
        <v>174</v>
      </c>
      <c r="D48" s="305"/>
      <c r="E48" s="305"/>
      <c r="F48" s="305"/>
      <c r="G48" s="305"/>
      <c r="H48" s="305"/>
      <c r="I48" s="305"/>
      <c r="J48" s="305"/>
      <c r="K48" s="305"/>
      <c r="L48" s="305"/>
      <c r="M48" s="305"/>
      <c r="N48" s="306"/>
      <c r="O48" s="195" t="str">
        <f>IF(ISBLANK('Facility input'!D7),"-", IF('Facility input'!D7&gt;1, "-", Calculations!J45))</f>
        <v>0.00</v>
      </c>
    </row>
    <row r="49" spans="2:15" ht="30.25" customHeight="1" x14ac:dyDescent="0.25">
      <c r="B49" s="307"/>
      <c r="C49" s="298" t="s">
        <v>180</v>
      </c>
      <c r="D49" s="298"/>
      <c r="E49" s="298"/>
      <c r="F49" s="298"/>
      <c r="G49" s="298"/>
      <c r="H49" s="298"/>
      <c r="I49" s="298"/>
      <c r="J49" s="298"/>
      <c r="K49" s="298"/>
      <c r="L49" s="298"/>
      <c r="M49" s="298"/>
      <c r="N49" s="298"/>
      <c r="O49" s="195" t="str">
        <f>IF(ISBLANK('Facility input'!D7),"-", IF('Facility input'!D7&gt;1, "-", Calculations!J46))</f>
        <v>0.00</v>
      </c>
    </row>
    <row r="50" spans="2:15" ht="30.25" customHeight="1" x14ac:dyDescent="0.25">
      <c r="B50" s="307"/>
      <c r="C50" s="304" t="s">
        <v>176</v>
      </c>
      <c r="D50" s="305"/>
      <c r="E50" s="305"/>
      <c r="F50" s="305"/>
      <c r="G50" s="305"/>
      <c r="H50" s="305"/>
      <c r="I50" s="305"/>
      <c r="J50" s="305"/>
      <c r="K50" s="305"/>
      <c r="L50" s="305"/>
      <c r="M50" s="305"/>
      <c r="N50" s="306"/>
      <c r="O50" s="195" t="str">
        <f>IF(ISBLANK('Facility input'!D7),"-", IF('Facility input'!D7&gt;1, "-", Calculations!J47))</f>
        <v>0.00</v>
      </c>
    </row>
    <row r="51" spans="2:15" ht="30.25" customHeight="1" x14ac:dyDescent="0.25">
      <c r="B51" s="307"/>
      <c r="C51" s="304" t="s">
        <v>177</v>
      </c>
      <c r="D51" s="305"/>
      <c r="E51" s="305"/>
      <c r="F51" s="305"/>
      <c r="G51" s="305"/>
      <c r="H51" s="305"/>
      <c r="I51" s="305"/>
      <c r="J51" s="305"/>
      <c r="K51" s="305"/>
      <c r="L51" s="305"/>
      <c r="M51" s="305"/>
      <c r="N51" s="306"/>
      <c r="O51" s="195">
        <f>IF(ISBLANK('Facility input'!D7),"-", IF('Facility input'!D7&gt;1, "-",'Facility input'!$D$24))</f>
        <v>0</v>
      </c>
    </row>
    <row r="52" spans="2:15" ht="30.25" customHeight="1" x14ac:dyDescent="0.25">
      <c r="B52" s="307"/>
      <c r="C52" s="304" t="s">
        <v>178</v>
      </c>
      <c r="D52" s="305"/>
      <c r="E52" s="305"/>
      <c r="F52" s="305"/>
      <c r="G52" s="305"/>
      <c r="H52" s="305"/>
      <c r="I52" s="305"/>
      <c r="J52" s="305"/>
      <c r="K52" s="305"/>
      <c r="L52" s="305"/>
      <c r="M52" s="305"/>
      <c r="N52" s="306"/>
      <c r="O52" s="195">
        <f>IF(ISBLANK('Facility input'!D7),"-", IF('Facility input'!D7&gt;1, "-",'Facility input'!$D$25))</f>
        <v>0</v>
      </c>
    </row>
    <row r="53" spans="2:15" ht="30.25" customHeight="1" x14ac:dyDescent="0.25">
      <c r="B53" s="307"/>
      <c r="C53" s="304" t="s">
        <v>179</v>
      </c>
      <c r="D53" s="305"/>
      <c r="E53" s="305"/>
      <c r="F53" s="305"/>
      <c r="G53" s="305"/>
      <c r="H53" s="305"/>
      <c r="I53" s="305"/>
      <c r="J53" s="305"/>
      <c r="K53" s="305"/>
      <c r="L53" s="305"/>
      <c r="M53" s="305"/>
      <c r="N53" s="306"/>
      <c r="O53" s="195">
        <f>IF(ISBLANK('Facility input'!D7),"-", IF('Facility input'!D7&gt;1, "-",'Facility input'!$D$23))</f>
        <v>0</v>
      </c>
    </row>
    <row r="54" spans="2:15" ht="30.25" customHeight="1" x14ac:dyDescent="0.25">
      <c r="B54" s="307"/>
      <c r="C54" s="304" t="s">
        <v>198</v>
      </c>
      <c r="D54" s="305"/>
      <c r="E54" s="305"/>
      <c r="F54" s="305"/>
      <c r="G54" s="305"/>
      <c r="H54" s="305"/>
      <c r="I54" s="305"/>
      <c r="J54" s="305"/>
      <c r="K54" s="305"/>
      <c r="L54" s="305"/>
      <c r="M54" s="305"/>
      <c r="N54" s="306"/>
      <c r="O54" s="196" t="str">
        <f>IF(ISBLANK('Facility input'!D7),"-", IF('Facility input'!D7&gt;1, "-", "User entry"))</f>
        <v>User entry</v>
      </c>
    </row>
    <row r="55" spans="2:15" ht="30.25" customHeight="1" x14ac:dyDescent="0.25">
      <c r="B55" s="307"/>
      <c r="C55" s="304" t="s">
        <v>199</v>
      </c>
      <c r="D55" s="305"/>
      <c r="E55" s="305"/>
      <c r="F55" s="305"/>
      <c r="G55" s="305"/>
      <c r="H55" s="305"/>
      <c r="I55" s="305"/>
      <c r="J55" s="305"/>
      <c r="K55" s="305"/>
      <c r="L55" s="305"/>
      <c r="M55" s="305"/>
      <c r="N55" s="306"/>
      <c r="O55" s="195">
        <f>IF(ISBLANK('Facility input'!D7),"-", IF('Facility input'!D7&gt;1, "-", 'Facility input'!$D$28*0.0006784*28))</f>
        <v>0</v>
      </c>
    </row>
    <row r="56" spans="2:15" ht="30.25" customHeight="1" x14ac:dyDescent="0.25">
      <c r="B56" s="307"/>
      <c r="C56" s="304" t="s">
        <v>200</v>
      </c>
      <c r="D56" s="305"/>
      <c r="E56" s="305"/>
      <c r="F56" s="305"/>
      <c r="G56" s="305"/>
      <c r="H56" s="305"/>
      <c r="I56" s="305"/>
      <c r="J56" s="305"/>
      <c r="K56" s="305"/>
      <c r="L56" s="305"/>
      <c r="M56" s="305"/>
      <c r="N56" s="306"/>
      <c r="O56" s="195">
        <f>IF(ISBLANK('Facility input'!D7),"-", IF('Facility input'!D7&gt;1, "-",'Facility input'!$D$27*0.0006784*28))</f>
        <v>0</v>
      </c>
    </row>
    <row r="57" spans="2:15" ht="12.25" customHeight="1" x14ac:dyDescent="0.25"/>
    <row r="58" spans="2:15" ht="42.75" customHeight="1" x14ac:dyDescent="0.25">
      <c r="B58" s="302" t="s">
        <v>119</v>
      </c>
      <c r="C58" s="302"/>
      <c r="D58" s="302"/>
      <c r="E58" s="302"/>
      <c r="F58" s="302"/>
      <c r="G58" s="302"/>
      <c r="H58" s="302"/>
      <c r="I58" s="302"/>
      <c r="J58" s="302"/>
      <c r="K58" s="302"/>
      <c r="L58" s="302"/>
      <c r="M58" s="302"/>
      <c r="N58" s="302"/>
      <c r="O58" s="302"/>
    </row>
    <row r="59" spans="2:15" ht="12.75" customHeight="1" x14ac:dyDescent="0.25"/>
    <row r="60" spans="2:15" ht="30.25" customHeight="1" x14ac:dyDescent="0.25"/>
    <row r="61" spans="2:15" ht="30.25" customHeight="1" x14ac:dyDescent="0.25"/>
    <row r="62" spans="2:15" ht="30.25" customHeight="1" x14ac:dyDescent="0.25"/>
    <row r="63" spans="2:15" ht="30.25" customHeight="1" x14ac:dyDescent="0.25"/>
    <row r="64" spans="2:15" ht="30.25" customHeight="1" x14ac:dyDescent="0.25"/>
    <row r="65" spans="2:23" ht="30.25" customHeight="1" x14ac:dyDescent="0.25"/>
    <row r="66" spans="2:23" ht="12.75" customHeight="1" x14ac:dyDescent="0.25"/>
    <row r="67" spans="2:23" ht="24" customHeight="1" x14ac:dyDescent="0.25">
      <c r="B67" s="299" t="s">
        <v>109</v>
      </c>
      <c r="C67" s="299"/>
      <c r="D67" s="299"/>
      <c r="E67" s="299"/>
      <c r="F67" s="299"/>
      <c r="G67" s="299"/>
      <c r="H67" s="299"/>
      <c r="I67" s="299"/>
      <c r="J67" s="299"/>
      <c r="K67" s="299"/>
      <c r="L67" s="299"/>
      <c r="M67" s="299"/>
      <c r="N67" s="299"/>
      <c r="O67" s="299"/>
    </row>
    <row r="68" spans="2:23" ht="30.25" customHeight="1" x14ac:dyDescent="0.25">
      <c r="B68" s="298" t="s">
        <v>183</v>
      </c>
      <c r="C68" s="298"/>
      <c r="D68" s="298"/>
      <c r="E68" s="298"/>
      <c r="F68" s="298"/>
      <c r="G68" s="298"/>
      <c r="H68" s="298"/>
      <c r="I68" s="298"/>
      <c r="J68" s="298"/>
      <c r="K68" s="298"/>
      <c r="L68" s="298"/>
      <c r="M68" s="298"/>
      <c r="N68" s="298"/>
      <c r="O68" s="197" t="str">
        <f>IF(ISBLANK('Facility input'!D7),"-", IF('Facility input'!D7&lt;&gt;1, "-", 'Facility input'!D42))</f>
        <v/>
      </c>
    </row>
    <row r="69" spans="2:23" ht="8.5" customHeight="1" x14ac:dyDescent="0.25"/>
    <row r="70" spans="2:23" ht="30.25" customHeight="1" x14ac:dyDescent="0.25"/>
    <row r="71" spans="2:23" ht="9.75" customHeight="1" x14ac:dyDescent="0.25"/>
    <row r="72" spans="2:23" ht="30.25" hidden="1" customHeight="1" x14ac:dyDescent="0.25"/>
    <row r="73" spans="2:23" hidden="1" x14ac:dyDescent="0.25"/>
    <row r="74" spans="2:23" ht="18" hidden="1" customHeight="1" x14ac:dyDescent="0.25">
      <c r="P74" s="169"/>
      <c r="Q74" s="169"/>
      <c r="R74" s="169"/>
      <c r="S74" s="169"/>
      <c r="T74" s="169"/>
      <c r="U74" s="169"/>
      <c r="V74" s="114"/>
      <c r="W74" s="114"/>
    </row>
    <row r="75" spans="2:23" ht="14.5" hidden="1" x14ac:dyDescent="0.25">
      <c r="P75" s="169"/>
      <c r="Q75" s="169"/>
      <c r="R75" s="169"/>
      <c r="S75" s="169"/>
      <c r="T75" s="169"/>
      <c r="U75" s="169"/>
      <c r="V75" s="114"/>
      <c r="W75" s="114"/>
    </row>
    <row r="76" spans="2:23" hidden="1" x14ac:dyDescent="0.25"/>
    <row r="77" spans="2:23" hidden="1" x14ac:dyDescent="0.25"/>
    <row r="78" spans="2:23" hidden="1" x14ac:dyDescent="0.25"/>
    <row r="79" spans="2:23" hidden="1" x14ac:dyDescent="0.25"/>
    <row r="80" spans="2:23"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t="30.25" hidden="1" customHeight="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x14ac:dyDescent="0.25"/>
    <row r="107" x14ac:dyDescent="0.25"/>
    <row r="108" x14ac:dyDescent="0.25"/>
  </sheetData>
  <sheetProtection algorithmName="SHA-256" hashValue="o2SYXpPA8rXD/AmjWlatv44p82Cz70qJd8XBEPLC0Aw=" saltValue="lZyt2AGFVROkrj3+WJRRtw==" spinCount="100000" sheet="1" selectLockedCells="1" selectUnlockedCells="1"/>
  <mergeCells count="28">
    <mergeCell ref="D6:N6"/>
    <mergeCell ref="C46:N46"/>
    <mergeCell ref="C54:N54"/>
    <mergeCell ref="C47:N47"/>
    <mergeCell ref="C40:N40"/>
    <mergeCell ref="C41:N41"/>
    <mergeCell ref="C55:N55"/>
    <mergeCell ref="B28:O28"/>
    <mergeCell ref="B36:O36"/>
    <mergeCell ref="C39:N39"/>
    <mergeCell ref="C52:N52"/>
    <mergeCell ref="C53:N53"/>
    <mergeCell ref="B68:N68"/>
    <mergeCell ref="B67:O67"/>
    <mergeCell ref="B2:O2"/>
    <mergeCell ref="C3:N3"/>
    <mergeCell ref="C42:N42"/>
    <mergeCell ref="C43:N43"/>
    <mergeCell ref="C45:N45"/>
    <mergeCell ref="B40:B56"/>
    <mergeCell ref="C56:N56"/>
    <mergeCell ref="C48:N48"/>
    <mergeCell ref="C49:N49"/>
    <mergeCell ref="C50:N50"/>
    <mergeCell ref="C51:N51"/>
    <mergeCell ref="C44:N44"/>
    <mergeCell ref="B5:O5"/>
    <mergeCell ref="B58:O58"/>
  </mergeCells>
  <pageMargins left="0.70866141732283472" right="0.70866141732283472" top="0.74803149606299213" bottom="0.74803149606299213" header="0.31496062992125984" footer="0.31496062992125984"/>
  <pageSetup paperSize="8" scale="64" orientation="portrait" r:id="rId1"/>
  <headerFooter>
    <oddHeader>&amp;LNGER wastewater (Industrial) calculator 1.5 Sheet: 4&amp;R&amp;A</oddHeader>
    <oddFooter>&amp;L© Commonwealth of Australia (2014) Clean Energy Regulator.&amp;RISBN: 978-1-921299-80-3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pageSetUpPr fitToPage="1"/>
  </sheetPr>
  <dimension ref="B1:W99"/>
  <sheetViews>
    <sheetView showRowColHeaders="0" zoomScaleNormal="100" workbookViewId="0">
      <selection activeCell="I89" sqref="I89"/>
    </sheetView>
  </sheetViews>
  <sheetFormatPr defaultColWidth="9.1796875" defaultRowHeight="12.5" x14ac:dyDescent="0.25"/>
  <cols>
    <col min="1" max="14" width="9.7265625" style="113" customWidth="1"/>
    <col min="15" max="15" width="13.54296875" style="113" customWidth="1"/>
    <col min="16" max="16" width="9.7265625" style="113" customWidth="1"/>
    <col min="17" max="19" width="9.1796875" style="113" customWidth="1"/>
    <col min="20" max="20" width="14.26953125" style="113" customWidth="1"/>
    <col min="21" max="21" width="9.1796875" style="113" customWidth="1"/>
    <col min="22" max="16383" width="9.1796875" style="113"/>
    <col min="16384" max="16384" width="11.1796875" style="113" customWidth="1"/>
  </cols>
  <sheetData>
    <row r="1" spans="2:15" ht="109.5" customHeight="1" x14ac:dyDescent="0.25"/>
    <row r="2" spans="2:15" ht="30.25" customHeight="1" x14ac:dyDescent="0.25"/>
    <row r="3" spans="2:15" ht="25.5" customHeight="1" x14ac:dyDescent="0.25">
      <c r="B3" s="300" t="s">
        <v>156</v>
      </c>
      <c r="C3" s="301"/>
      <c r="D3" s="301"/>
      <c r="E3" s="301"/>
      <c r="F3" s="301"/>
      <c r="G3" s="301"/>
      <c r="H3" s="301"/>
      <c r="I3" s="301"/>
      <c r="J3" s="301"/>
      <c r="K3" s="301"/>
      <c r="L3" s="301"/>
      <c r="M3" s="301"/>
      <c r="N3" s="301"/>
      <c r="O3" s="301"/>
    </row>
    <row r="4" spans="2:15" ht="14.5" x14ac:dyDescent="0.35">
      <c r="B4" s="201"/>
      <c r="C4" s="302" t="s">
        <v>184</v>
      </c>
      <c r="D4" s="303"/>
      <c r="E4" s="303"/>
      <c r="F4" s="303"/>
      <c r="G4" s="303"/>
      <c r="H4" s="303"/>
      <c r="I4" s="303"/>
      <c r="J4" s="303"/>
      <c r="K4" s="303"/>
      <c r="L4" s="303"/>
      <c r="M4" s="303"/>
      <c r="N4" s="303"/>
      <c r="O4" s="200"/>
    </row>
    <row r="5" spans="2:15" ht="30.25" customHeight="1" x14ac:dyDescent="0.35">
      <c r="B5" s="201"/>
      <c r="C5" s="200"/>
      <c r="D5" s="200"/>
      <c r="E5" s="200"/>
      <c r="F5" s="200"/>
      <c r="G5" s="200"/>
      <c r="H5" s="200"/>
      <c r="I5" s="200"/>
      <c r="J5" s="200"/>
      <c r="K5" s="200"/>
      <c r="L5" s="200"/>
      <c r="M5" s="200"/>
      <c r="N5" s="200"/>
      <c r="O5" s="200"/>
    </row>
    <row r="6" spans="2:15" ht="30.25" customHeight="1" x14ac:dyDescent="0.25">
      <c r="B6" s="312" t="s">
        <v>152</v>
      </c>
      <c r="C6" s="312"/>
      <c r="D6" s="312"/>
      <c r="E6" s="312"/>
      <c r="F6" s="312"/>
      <c r="G6" s="312"/>
      <c r="H6" s="312"/>
      <c r="I6" s="312"/>
      <c r="J6" s="312"/>
      <c r="K6" s="312"/>
      <c r="L6" s="312"/>
      <c r="M6" s="312"/>
      <c r="N6" s="312"/>
      <c r="O6" s="312"/>
    </row>
    <row r="7" spans="2:15" ht="18.5" x14ac:dyDescent="0.35">
      <c r="C7" s="190"/>
      <c r="F7" s="191"/>
    </row>
    <row r="31" spans="2:15" ht="14.5" x14ac:dyDescent="0.35">
      <c r="B31" s="310" t="s">
        <v>157</v>
      </c>
      <c r="C31" s="310"/>
      <c r="D31" s="310"/>
      <c r="E31" s="310"/>
      <c r="F31" s="310"/>
      <c r="G31" s="310"/>
      <c r="H31" s="310"/>
      <c r="I31" s="310"/>
      <c r="J31" s="310"/>
      <c r="K31" s="310"/>
      <c r="L31" s="310"/>
      <c r="M31" s="310"/>
      <c r="N31" s="310"/>
      <c r="O31" s="310"/>
    </row>
    <row r="40" spans="2:15" ht="14.5" x14ac:dyDescent="0.35">
      <c r="B40" s="310" t="s">
        <v>153</v>
      </c>
      <c r="C40" s="310"/>
      <c r="D40" s="310"/>
      <c r="E40" s="310"/>
      <c r="F40" s="310"/>
      <c r="G40" s="310"/>
      <c r="H40" s="310"/>
      <c r="I40" s="310"/>
      <c r="J40" s="310"/>
      <c r="K40" s="310"/>
      <c r="L40" s="310"/>
      <c r="M40" s="310"/>
      <c r="N40" s="310"/>
      <c r="O40" s="310"/>
    </row>
    <row r="42" spans="2:15" ht="30.25" customHeight="1" x14ac:dyDescent="0.25">
      <c r="B42" s="193" t="s">
        <v>107</v>
      </c>
      <c r="C42" s="307" t="s">
        <v>108</v>
      </c>
      <c r="D42" s="307"/>
      <c r="E42" s="307"/>
      <c r="F42" s="307"/>
      <c r="G42" s="307"/>
      <c r="H42" s="307"/>
      <c r="I42" s="307"/>
      <c r="J42" s="307"/>
      <c r="K42" s="307"/>
      <c r="L42" s="307"/>
      <c r="M42" s="307"/>
      <c r="N42" s="307"/>
      <c r="O42" s="194" t="s">
        <v>158</v>
      </c>
    </row>
    <row r="43" spans="2:15" ht="30.25" customHeight="1" x14ac:dyDescent="0.25">
      <c r="B43" s="314"/>
      <c r="C43" s="304" t="s">
        <v>165</v>
      </c>
      <c r="D43" s="305"/>
      <c r="E43" s="305"/>
      <c r="F43" s="305"/>
      <c r="G43" s="305"/>
      <c r="H43" s="305"/>
      <c r="I43" s="305"/>
      <c r="J43" s="305"/>
      <c r="K43" s="305"/>
      <c r="L43" s="305"/>
      <c r="M43" s="305"/>
      <c r="N43" s="306"/>
      <c r="O43" s="196" t="str">
        <f>IF(ISBLANK('Facility input'!D7),"-", IF('Facility input'!D7=1, "-", 'Facility input'!D11))</f>
        <v>-</v>
      </c>
    </row>
    <row r="44" spans="2:15" ht="30.25" customHeight="1" x14ac:dyDescent="0.25">
      <c r="B44" s="315"/>
      <c r="C44" s="304" t="s">
        <v>166</v>
      </c>
      <c r="D44" s="305"/>
      <c r="E44" s="305"/>
      <c r="F44" s="305"/>
      <c r="G44" s="305"/>
      <c r="H44" s="305"/>
      <c r="I44" s="305"/>
      <c r="J44" s="305"/>
      <c r="K44" s="305"/>
      <c r="L44" s="305"/>
      <c r="M44" s="305"/>
      <c r="N44" s="306"/>
      <c r="O44" s="196" t="str">
        <f>IF(ISBLANK('Facility input'!D7),"-", IF('Facility input'!D7=1, "-",'Facility input'!D12))</f>
        <v>-</v>
      </c>
    </row>
    <row r="45" spans="2:15" ht="30.25" customHeight="1" x14ac:dyDescent="0.25">
      <c r="B45" s="315"/>
      <c r="C45" s="304" t="s">
        <v>167</v>
      </c>
      <c r="D45" s="305"/>
      <c r="E45" s="305"/>
      <c r="F45" s="305"/>
      <c r="G45" s="305"/>
      <c r="H45" s="305"/>
      <c r="I45" s="305"/>
      <c r="J45" s="305"/>
      <c r="K45" s="305"/>
      <c r="L45" s="305"/>
      <c r="M45" s="305"/>
      <c r="N45" s="306"/>
      <c r="O45" s="196" t="str">
        <f>IF(ISBLANK('Facility input'!D7),"-", IF('Facility input'!D7=1, "-",'Facility input'!D13))</f>
        <v>-</v>
      </c>
    </row>
    <row r="46" spans="2:15" ht="30.25" customHeight="1" x14ac:dyDescent="0.25">
      <c r="B46" s="315"/>
      <c r="C46" s="304" t="s">
        <v>168</v>
      </c>
      <c r="D46" s="305"/>
      <c r="E46" s="305"/>
      <c r="F46" s="305"/>
      <c r="G46" s="305"/>
      <c r="H46" s="305"/>
      <c r="I46" s="305"/>
      <c r="J46" s="305"/>
      <c r="K46" s="305"/>
      <c r="L46" s="305"/>
      <c r="M46" s="305"/>
      <c r="N46" s="306"/>
      <c r="O46" s="196" t="str">
        <f>IF(ISBLANK('Facility input'!D7),"-", IF('Facility input'!D7=1, "-",'Facility input'!D14))</f>
        <v>-</v>
      </c>
    </row>
    <row r="47" spans="2:15" ht="30.25" customHeight="1" x14ac:dyDescent="0.25">
      <c r="B47" s="315"/>
      <c r="C47" s="304" t="s">
        <v>169</v>
      </c>
      <c r="D47" s="305"/>
      <c r="E47" s="305"/>
      <c r="F47" s="305"/>
      <c r="G47" s="305"/>
      <c r="H47" s="305"/>
      <c r="I47" s="305"/>
      <c r="J47" s="305"/>
      <c r="K47" s="305"/>
      <c r="L47" s="305"/>
      <c r="M47" s="305"/>
      <c r="N47" s="306"/>
      <c r="O47" s="196" t="str">
        <f>IF(ISBLANK('Facility input'!D7),"-", IF('Facility input'!D7=1, "-", 'Facility input'!D15))</f>
        <v>-</v>
      </c>
    </row>
    <row r="48" spans="2:15" ht="30.25" customHeight="1" x14ac:dyDescent="0.25">
      <c r="B48" s="315"/>
      <c r="C48" s="304" t="s">
        <v>170</v>
      </c>
      <c r="D48" s="305"/>
      <c r="E48" s="305"/>
      <c r="F48" s="305"/>
      <c r="G48" s="305"/>
      <c r="H48" s="305"/>
      <c r="I48" s="305"/>
      <c r="J48" s="305"/>
      <c r="K48" s="305"/>
      <c r="L48" s="305"/>
      <c r="M48" s="305"/>
      <c r="N48" s="306"/>
      <c r="O48" s="196" t="str">
        <f>IF(ISBLANK('Facility input'!D7),"-", IF('Facility input'!D7=1, "-",'Facility input'!D16))</f>
        <v>-</v>
      </c>
    </row>
    <row r="49" spans="2:20" ht="30.25" customHeight="1" x14ac:dyDescent="0.25">
      <c r="B49" s="315"/>
      <c r="C49" s="304" t="s">
        <v>171</v>
      </c>
      <c r="D49" s="305"/>
      <c r="E49" s="305"/>
      <c r="F49" s="305"/>
      <c r="G49" s="305"/>
      <c r="H49" s="305"/>
      <c r="I49" s="305"/>
      <c r="J49" s="305"/>
      <c r="K49" s="305"/>
      <c r="L49" s="305"/>
      <c r="M49" s="305"/>
      <c r="N49" s="306"/>
      <c r="O49" s="196" t="str">
        <f>IF(ISBLANK('Facility input'!D7),"-", IF('Facility input'!D7=1, "-",'Facility input'!D17))</f>
        <v>-</v>
      </c>
    </row>
    <row r="50" spans="2:20" ht="30.25" customHeight="1" x14ac:dyDescent="0.25">
      <c r="B50" s="315"/>
      <c r="C50" s="304" t="s">
        <v>172</v>
      </c>
      <c r="D50" s="305"/>
      <c r="E50" s="305"/>
      <c r="F50" s="305"/>
      <c r="G50" s="305"/>
      <c r="H50" s="305"/>
      <c r="I50" s="305"/>
      <c r="J50" s="305"/>
      <c r="K50" s="305"/>
      <c r="L50" s="305"/>
      <c r="M50" s="305"/>
      <c r="N50" s="306"/>
      <c r="O50" s="196" t="str">
        <f>IF(ISBLANK('Facility input'!D7),"-", IF('Facility input'!D7=1, "-",'Facility input'!D18))</f>
        <v>-</v>
      </c>
    </row>
    <row r="51" spans="2:20" ht="30.25" customHeight="1" x14ac:dyDescent="0.35">
      <c r="B51" s="315"/>
      <c r="C51" s="304" t="s">
        <v>173</v>
      </c>
      <c r="D51" s="305"/>
      <c r="E51" s="305"/>
      <c r="F51" s="305"/>
      <c r="G51" s="305"/>
      <c r="H51" s="305"/>
      <c r="I51" s="305"/>
      <c r="J51" s="305"/>
      <c r="K51" s="305"/>
      <c r="L51" s="305"/>
      <c r="M51" s="305"/>
      <c r="N51" s="306"/>
      <c r="O51" s="195" t="str">
        <f>IF(ISBLANK('Facility input'!D7),"-", IF('Facility input'!D7=1, "-", Calculations!J44))</f>
        <v>-</v>
      </c>
      <c r="P51" s="198"/>
      <c r="T51" s="212"/>
    </row>
    <row r="52" spans="2:20" ht="30.25" customHeight="1" x14ac:dyDescent="0.25">
      <c r="B52" s="315"/>
      <c r="C52" s="304" t="s">
        <v>174</v>
      </c>
      <c r="D52" s="305"/>
      <c r="E52" s="305"/>
      <c r="F52" s="305"/>
      <c r="G52" s="305"/>
      <c r="H52" s="305"/>
      <c r="I52" s="305"/>
      <c r="J52" s="305"/>
      <c r="K52" s="305"/>
      <c r="L52" s="305"/>
      <c r="M52" s="305"/>
      <c r="N52" s="306"/>
      <c r="O52" s="195" t="str">
        <f>IF(ISBLANK('Facility input'!D7),"-", IF('Facility input'!D7=1, "-", Calculations!J45))</f>
        <v>-</v>
      </c>
      <c r="P52" s="213"/>
    </row>
    <row r="53" spans="2:20" ht="30.25" customHeight="1" x14ac:dyDescent="0.35">
      <c r="B53" s="315"/>
      <c r="C53" s="304" t="s">
        <v>175</v>
      </c>
      <c r="D53" s="305"/>
      <c r="E53" s="305"/>
      <c r="F53" s="305"/>
      <c r="G53" s="305"/>
      <c r="H53" s="305"/>
      <c r="I53" s="305"/>
      <c r="J53" s="305"/>
      <c r="K53" s="305"/>
      <c r="L53" s="305"/>
      <c r="M53" s="305"/>
      <c r="N53" s="306"/>
      <c r="O53" s="195" t="str">
        <f>IF(ISBLANK('Facility input'!D7),"-", IF('Facility input'!D7=1, "-", Calculations!J53))</f>
        <v>-</v>
      </c>
      <c r="P53" s="198"/>
      <c r="T53" s="213"/>
    </row>
    <row r="54" spans="2:20" ht="30.25" customHeight="1" x14ac:dyDescent="0.25">
      <c r="B54" s="315"/>
      <c r="C54" s="304" t="s">
        <v>176</v>
      </c>
      <c r="D54" s="305"/>
      <c r="E54" s="305"/>
      <c r="F54" s="305"/>
      <c r="G54" s="305"/>
      <c r="H54" s="305"/>
      <c r="I54" s="305"/>
      <c r="J54" s="305"/>
      <c r="K54" s="305"/>
      <c r="L54" s="305"/>
      <c r="M54" s="305"/>
      <c r="N54" s="306"/>
      <c r="O54" s="195" t="str">
        <f>IF(ISBLANK('Facility input'!D7),"-", IF('Facility input'!D7=1, "-", Calculations!J47))</f>
        <v>-</v>
      </c>
      <c r="P54" s="213"/>
    </row>
    <row r="55" spans="2:20" ht="30.25" customHeight="1" x14ac:dyDescent="0.25">
      <c r="B55" s="315"/>
      <c r="C55" s="304" t="s">
        <v>177</v>
      </c>
      <c r="D55" s="305"/>
      <c r="E55" s="305"/>
      <c r="F55" s="305"/>
      <c r="G55" s="305"/>
      <c r="H55" s="305"/>
      <c r="I55" s="305"/>
      <c r="J55" s="305"/>
      <c r="K55" s="305"/>
      <c r="L55" s="305"/>
      <c r="M55" s="305"/>
      <c r="N55" s="306"/>
      <c r="O55" s="195" t="str">
        <f>IF(ISBLANK('Facility input'!D7),"-", IF('Facility input'!D7=1, "-", Calculations!J43))</f>
        <v>-</v>
      </c>
      <c r="P55" s="213"/>
    </row>
    <row r="56" spans="2:20" ht="30.25" customHeight="1" x14ac:dyDescent="0.25">
      <c r="B56" s="315"/>
      <c r="C56" s="304" t="s">
        <v>178</v>
      </c>
      <c r="D56" s="305"/>
      <c r="E56" s="305"/>
      <c r="F56" s="305"/>
      <c r="G56" s="305"/>
      <c r="H56" s="305"/>
      <c r="I56" s="305"/>
      <c r="J56" s="305"/>
      <c r="K56" s="305"/>
      <c r="L56" s="305"/>
      <c r="M56" s="305"/>
      <c r="N56" s="306"/>
      <c r="O56" s="195" t="str">
        <f>IF(ISBLANK('Facility input'!D7),"-", IF('Facility input'!D7=1, "-", Calculations!J48))</f>
        <v>-</v>
      </c>
      <c r="P56" s="213"/>
    </row>
    <row r="57" spans="2:20" ht="30.25" customHeight="1" x14ac:dyDescent="0.25">
      <c r="B57" s="315"/>
      <c r="C57" s="304" t="s">
        <v>179</v>
      </c>
      <c r="D57" s="305"/>
      <c r="E57" s="305"/>
      <c r="F57" s="305"/>
      <c r="G57" s="305"/>
      <c r="H57" s="305"/>
      <c r="I57" s="305"/>
      <c r="J57" s="305"/>
      <c r="K57" s="305"/>
      <c r="L57" s="305"/>
      <c r="M57" s="305"/>
      <c r="N57" s="306"/>
      <c r="O57" s="195" t="str">
        <f>IF(ISBLANK('Facility input'!D7),"-", IF('Facility input'!D7=1, "-", Calculations!J49))</f>
        <v>-</v>
      </c>
      <c r="P57" s="213"/>
    </row>
    <row r="58" spans="2:20" ht="30.25" customHeight="1" x14ac:dyDescent="0.35">
      <c r="B58" s="315"/>
      <c r="C58" s="304" t="s">
        <v>201</v>
      </c>
      <c r="D58" s="305"/>
      <c r="E58" s="305"/>
      <c r="F58" s="305"/>
      <c r="G58" s="305"/>
      <c r="H58" s="305"/>
      <c r="I58" s="305"/>
      <c r="J58" s="305"/>
      <c r="K58" s="305"/>
      <c r="L58" s="305"/>
      <c r="M58" s="305"/>
      <c r="N58" s="306"/>
      <c r="O58" s="195" t="str">
        <f>IF(ISBLANK('Facility input'!D7),"-", IF('Facility input'!D7=1, "-", Calculations!J54))</f>
        <v>-</v>
      </c>
      <c r="P58" s="198"/>
    </row>
    <row r="59" spans="2:20" ht="30.25" customHeight="1" x14ac:dyDescent="0.25">
      <c r="B59" s="315"/>
      <c r="C59" s="304" t="s">
        <v>198</v>
      </c>
      <c r="D59" s="305"/>
      <c r="E59" s="305"/>
      <c r="F59" s="305"/>
      <c r="G59" s="305"/>
      <c r="H59" s="305"/>
      <c r="I59" s="305"/>
      <c r="J59" s="305"/>
      <c r="K59" s="305"/>
      <c r="L59" s="305"/>
      <c r="M59" s="305"/>
      <c r="N59" s="306"/>
      <c r="O59" s="196" t="str">
        <f>IF(ISBLANK('Facility input'!D7),"-", IF('Facility input'!D7=1, "-", "User entry"))</f>
        <v>-</v>
      </c>
      <c r="P59" s="213"/>
    </row>
    <row r="60" spans="2:20" ht="30.25" customHeight="1" x14ac:dyDescent="0.35">
      <c r="B60" s="315"/>
      <c r="C60" s="304" t="s">
        <v>199</v>
      </c>
      <c r="D60" s="305"/>
      <c r="E60" s="305"/>
      <c r="F60" s="305"/>
      <c r="G60" s="305"/>
      <c r="H60" s="305"/>
      <c r="I60" s="305"/>
      <c r="J60" s="305"/>
      <c r="K60" s="305"/>
      <c r="L60" s="305"/>
      <c r="M60" s="305"/>
      <c r="N60" s="306"/>
      <c r="O60" s="195" t="str">
        <f>IF(ISBLANK('Facility input'!D7),"-", IF('Facility input'!D7=1, "-", Calculations!J51))</f>
        <v>-</v>
      </c>
      <c r="P60" s="198"/>
    </row>
    <row r="61" spans="2:20" ht="30.25" customHeight="1" x14ac:dyDescent="0.35">
      <c r="B61" s="316"/>
      <c r="C61" s="304" t="s">
        <v>200</v>
      </c>
      <c r="D61" s="305"/>
      <c r="E61" s="305"/>
      <c r="F61" s="305"/>
      <c r="G61" s="305"/>
      <c r="H61" s="305"/>
      <c r="I61" s="305"/>
      <c r="J61" s="305"/>
      <c r="K61" s="305"/>
      <c r="L61" s="305"/>
      <c r="M61" s="305"/>
      <c r="N61" s="306"/>
      <c r="O61" s="195" t="str">
        <f>IF(ISBLANK('Facility input'!D7),"-", IF('Facility input'!D7=1, "-", Calculations!J52))</f>
        <v>-</v>
      </c>
      <c r="P61" s="198"/>
    </row>
    <row r="62" spans="2:20" ht="15.75" customHeight="1" x14ac:dyDescent="0.25"/>
    <row r="63" spans="2:20" ht="30.25" customHeight="1" x14ac:dyDescent="0.25">
      <c r="B63" s="302" t="s">
        <v>119</v>
      </c>
      <c r="C63" s="313"/>
      <c r="D63" s="313"/>
      <c r="E63" s="313"/>
      <c r="F63" s="313"/>
      <c r="G63" s="313"/>
      <c r="H63" s="313"/>
      <c r="I63" s="313"/>
      <c r="J63" s="313"/>
      <c r="K63" s="313"/>
      <c r="L63" s="313"/>
      <c r="M63" s="313"/>
      <c r="N63" s="313"/>
      <c r="O63" s="313"/>
      <c r="P63" s="179"/>
    </row>
    <row r="64" spans="2:20" ht="30.25" customHeight="1" x14ac:dyDescent="0.25">
      <c r="B64" s="313"/>
      <c r="C64" s="313"/>
      <c r="D64" s="313"/>
      <c r="E64" s="313"/>
      <c r="F64" s="313"/>
      <c r="G64" s="313"/>
      <c r="H64" s="313"/>
      <c r="I64" s="313"/>
      <c r="J64" s="313"/>
      <c r="K64" s="313"/>
      <c r="L64" s="313"/>
      <c r="M64" s="313"/>
      <c r="N64" s="313"/>
      <c r="O64" s="313"/>
      <c r="P64" s="179"/>
    </row>
    <row r="65" spans="2:23" ht="30.25" customHeight="1" x14ac:dyDescent="0.25"/>
    <row r="66" spans="2:23" ht="30.25" customHeight="1" x14ac:dyDescent="0.25"/>
    <row r="67" spans="2:23" ht="30.25" customHeight="1" x14ac:dyDescent="0.25"/>
    <row r="68" spans="2:23" ht="30.25" customHeight="1" x14ac:dyDescent="0.25"/>
    <row r="69" spans="2:23" ht="30.25" customHeight="1" x14ac:dyDescent="0.25"/>
    <row r="70" spans="2:23" ht="30.25" customHeight="1" x14ac:dyDescent="0.25"/>
    <row r="71" spans="2:23" ht="30.25" customHeight="1" x14ac:dyDescent="0.25"/>
    <row r="72" spans="2:23" ht="24.75" customHeight="1" x14ac:dyDescent="0.25"/>
    <row r="73" spans="2:23" ht="30.25" customHeight="1" x14ac:dyDescent="0.25">
      <c r="B73" s="214" t="s">
        <v>181</v>
      </c>
      <c r="C73" s="215"/>
      <c r="D73" s="215"/>
      <c r="E73" s="215"/>
      <c r="F73" s="215"/>
      <c r="G73" s="215"/>
      <c r="H73" s="215"/>
      <c r="I73" s="215"/>
      <c r="J73" s="215"/>
      <c r="K73" s="215"/>
      <c r="L73" s="215"/>
      <c r="M73" s="215"/>
      <c r="N73" s="216"/>
      <c r="O73" s="197" t="str">
        <f>IF(ISBLANK('Facility input'!D7),"-", IF('Facility input'!D7=1, "-",'Facility input'!D42))</f>
        <v>-</v>
      </c>
    </row>
    <row r="74" spans="2:23" ht="12.25" customHeight="1" x14ac:dyDescent="0.25"/>
    <row r="75" spans="2:23" ht="43.5" customHeight="1" x14ac:dyDescent="0.25"/>
    <row r="76" spans="2:23" ht="18" customHeight="1" x14ac:dyDescent="0.25">
      <c r="Q76" s="179"/>
      <c r="R76" s="179"/>
      <c r="S76" s="179"/>
      <c r="T76" s="179"/>
      <c r="U76" s="179"/>
      <c r="V76" s="114"/>
      <c r="W76" s="114"/>
    </row>
    <row r="77" spans="2:23" ht="14.5" x14ac:dyDescent="0.25">
      <c r="Q77" s="179"/>
      <c r="R77" s="179"/>
      <c r="S77" s="179"/>
      <c r="T77" s="179"/>
      <c r="U77" s="179"/>
      <c r="V77" s="114"/>
      <c r="W77" s="114"/>
    </row>
    <row r="84" spans="3:3" ht="18.5" x14ac:dyDescent="0.25">
      <c r="C84" s="190"/>
    </row>
    <row r="99" ht="30.25" customHeight="1" x14ac:dyDescent="0.25"/>
  </sheetData>
  <sheetProtection algorithmName="SHA-256" hashValue="nZPONriz3ZRLc+XTGkYHUSsEsiJs+buZ/nbcRjrEGn8=" saltValue="L8kbJH3FpnJ5Eoi26CUprg==" spinCount="100000" sheet="1" selectLockedCells="1" selectUnlockedCells="1"/>
  <mergeCells count="27">
    <mergeCell ref="B63:O64"/>
    <mergeCell ref="B43:B61"/>
    <mergeCell ref="C60:N60"/>
    <mergeCell ref="C58:N58"/>
    <mergeCell ref="C53:N53"/>
    <mergeCell ref="C45:N45"/>
    <mergeCell ref="C55:N55"/>
    <mergeCell ref="C56:N56"/>
    <mergeCell ref="C48:N48"/>
    <mergeCell ref="C49:N49"/>
    <mergeCell ref="C61:N61"/>
    <mergeCell ref="C52:N52"/>
    <mergeCell ref="C54:N54"/>
    <mergeCell ref="C51:N51"/>
    <mergeCell ref="C57:N57"/>
    <mergeCell ref="C59:N59"/>
    <mergeCell ref="C42:N42"/>
    <mergeCell ref="C50:N50"/>
    <mergeCell ref="C43:N43"/>
    <mergeCell ref="C44:N44"/>
    <mergeCell ref="C46:N46"/>
    <mergeCell ref="C47:N47"/>
    <mergeCell ref="B3:O3"/>
    <mergeCell ref="C4:N4"/>
    <mergeCell ref="B6:O6"/>
    <mergeCell ref="B31:O31"/>
    <mergeCell ref="B40:O40"/>
  </mergeCells>
  <pageMargins left="0.70866141732283472" right="0.70866141732283472" top="0.74803149606299213" bottom="0.74803149606299213" header="0.31496062992125984" footer="0.31496062992125984"/>
  <pageSetup paperSize="8" scale="63" orientation="portrait" r:id="rId1"/>
  <headerFooter>
    <oddHeader>&amp;LNGER wastewater (Industrial) calculator 1.5 Sheet: 5&amp;R&amp;A</oddHeader>
    <oddFooter>&amp;L© Commonwealth of Australia (2014) Clean Energy Regulator.&amp;RISBN: 978-1-921299-80-3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C7"/>
  <sheetViews>
    <sheetView showRowColHeaders="0" workbookViewId="0">
      <selection activeCell="B6" sqref="B6"/>
    </sheetView>
  </sheetViews>
  <sheetFormatPr defaultColWidth="0" defaultRowHeight="12.5" zeroHeight="1" x14ac:dyDescent="0.25"/>
  <cols>
    <col min="1" max="1" width="9.1796875" style="113" customWidth="1"/>
    <col min="2" max="2" width="136.7265625" style="113" customWidth="1"/>
    <col min="3" max="3" width="9.1796875" style="113" customWidth="1"/>
    <col min="4" max="16384" width="9.1796875" hidden="1"/>
  </cols>
  <sheetData>
    <row r="1" spans="2:2" ht="120.25" customHeight="1" x14ac:dyDescent="0.25"/>
    <row r="2" spans="2:2" ht="23.5" x14ac:dyDescent="0.25">
      <c r="B2" s="202" t="s">
        <v>187</v>
      </c>
    </row>
    <row r="3" spans="2:2" x14ac:dyDescent="0.25"/>
    <row r="4" spans="2:2" ht="114.75" customHeight="1" x14ac:dyDescent="0.25">
      <c r="B4" s="219" t="s">
        <v>191</v>
      </c>
    </row>
    <row r="5" spans="2:2" ht="58" x14ac:dyDescent="0.25">
      <c r="B5" s="219" t="s">
        <v>192</v>
      </c>
    </row>
    <row r="6" spans="2:2" ht="101.5" x14ac:dyDescent="0.25">
      <c r="B6" s="219" t="s">
        <v>193</v>
      </c>
    </row>
    <row r="7" spans="2:2" x14ac:dyDescent="0.25">
      <c r="B7" s="203"/>
    </row>
  </sheetData>
  <sheetProtection algorithmName="SHA-256" hashValue="mMMHl4fO3Ks4o2aUO6x0ti34UQjESd7QCYnnXLhQ8aI=" saltValue="+53+qh7x/HlhwccCQUboZw==" spinCount="100000" sheet="1" selectLockedCells="1" selectUnlockedCells="1"/>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2:Y71"/>
  <sheetViews>
    <sheetView zoomScaleNormal="100" workbookViewId="0"/>
  </sheetViews>
  <sheetFormatPr defaultRowHeight="13" x14ac:dyDescent="0.3"/>
  <cols>
    <col min="2" max="2" width="80.1796875" style="2" customWidth="1"/>
    <col min="3" max="3" width="9.1796875" style="2" customWidth="1"/>
    <col min="4" max="4" width="94" style="2" bestFit="1" customWidth="1"/>
    <col min="5" max="5" width="9.1796875" style="2" customWidth="1"/>
    <col min="6" max="6" width="25" style="2" bestFit="1" customWidth="1"/>
    <col min="7" max="7" width="38.54296875" style="2" bestFit="1" customWidth="1"/>
    <col min="8" max="8" width="18.54296875" style="2" customWidth="1"/>
    <col min="9" max="9" width="4.453125" style="2" bestFit="1" customWidth="1"/>
    <col min="10" max="10" width="9.1796875" style="2" customWidth="1"/>
    <col min="11" max="11" width="56.26953125" bestFit="1" customWidth="1"/>
    <col min="14" max="14" width="14.453125" bestFit="1" customWidth="1"/>
    <col min="15" max="15" width="64.81640625" bestFit="1" customWidth="1"/>
    <col min="16" max="16" width="12.54296875" customWidth="1"/>
    <col min="18" max="18" width="19.26953125" bestFit="1" customWidth="1"/>
    <col min="25" max="25" width="59.54296875" bestFit="1" customWidth="1"/>
  </cols>
  <sheetData>
    <row r="2" spans="2:25" ht="15.5" x14ac:dyDescent="0.35">
      <c r="B2"/>
      <c r="C2" s="8"/>
      <c r="D2" s="8"/>
      <c r="E2" s="8"/>
      <c r="F2" s="9"/>
      <c r="G2" s="8"/>
      <c r="H2" s="8"/>
      <c r="I2" s="8"/>
    </row>
    <row r="3" spans="2:25" ht="17.5" x14ac:dyDescent="0.35">
      <c r="F3" s="27" t="s">
        <v>28</v>
      </c>
      <c r="G3" s="28" t="s">
        <v>23</v>
      </c>
      <c r="H3" s="29" t="str">
        <f>MID(G3,SEARCH(": ",G3)+2,3)</f>
        <v>0</v>
      </c>
      <c r="I3" s="30">
        <f>H3*1</f>
        <v>0</v>
      </c>
      <c r="K3" s="19" t="s">
        <v>35</v>
      </c>
      <c r="L3" s="20" t="s">
        <v>9</v>
      </c>
      <c r="M3" s="20" t="s">
        <v>10</v>
      </c>
      <c r="N3" s="20" t="s">
        <v>106</v>
      </c>
      <c r="O3" s="21" t="s">
        <v>31</v>
      </c>
      <c r="Q3" s="62"/>
      <c r="R3" s="78" t="s">
        <v>39</v>
      </c>
      <c r="S3" s="63"/>
      <c r="T3" s="63"/>
      <c r="U3" s="63"/>
      <c r="V3" s="63"/>
      <c r="W3" s="63"/>
      <c r="X3" s="63"/>
      <c r="Y3" s="64" t="s">
        <v>71</v>
      </c>
    </row>
    <row r="4" spans="2:25" ht="15.5" x14ac:dyDescent="0.35">
      <c r="F4" s="31" t="s">
        <v>27</v>
      </c>
      <c r="G4" s="25" t="s">
        <v>24</v>
      </c>
      <c r="H4" s="26" t="str">
        <f>MID(G4,SEARCH(": ",G4)+2,3)</f>
        <v>0.3</v>
      </c>
      <c r="I4" s="32">
        <f>H4*1</f>
        <v>0.3</v>
      </c>
      <c r="K4" s="16" t="s">
        <v>15</v>
      </c>
      <c r="L4" s="20">
        <v>5.7</v>
      </c>
      <c r="M4" s="20">
        <v>0.9</v>
      </c>
      <c r="N4" s="20">
        <v>0.4</v>
      </c>
      <c r="O4" s="22" t="s">
        <v>32</v>
      </c>
      <c r="Q4" s="65"/>
      <c r="R4" s="37"/>
      <c r="S4" s="37"/>
      <c r="T4" s="37"/>
      <c r="U4" s="37"/>
      <c r="V4" s="37"/>
      <c r="W4" s="37"/>
      <c r="X4" s="37"/>
      <c r="Y4" s="66" t="s">
        <v>94</v>
      </c>
    </row>
    <row r="5" spans="2:25" ht="15.5" x14ac:dyDescent="0.35">
      <c r="F5" s="31" t="s">
        <v>40</v>
      </c>
      <c r="G5" s="25" t="s">
        <v>41</v>
      </c>
      <c r="H5" s="26" t="str">
        <f>MID(G5,SEARCH(": ",G5)+2,3)</f>
        <v>0.8</v>
      </c>
      <c r="I5" s="32">
        <f>H5*1</f>
        <v>0.8</v>
      </c>
      <c r="K5" s="16" t="s">
        <v>16</v>
      </c>
      <c r="L5" s="20">
        <v>26.7</v>
      </c>
      <c r="M5" s="20">
        <v>0.4</v>
      </c>
      <c r="N5" s="20">
        <v>0</v>
      </c>
      <c r="O5" s="22" t="s">
        <v>32</v>
      </c>
      <c r="Q5" s="65"/>
      <c r="R5" s="37"/>
      <c r="S5" s="37"/>
      <c r="T5" s="37"/>
      <c r="U5" s="37"/>
      <c r="V5" s="37"/>
      <c r="W5" s="37"/>
      <c r="X5" s="37"/>
      <c r="Y5" s="67"/>
    </row>
    <row r="6" spans="2:25" ht="15.5" x14ac:dyDescent="0.35">
      <c r="F6" s="31" t="s">
        <v>29</v>
      </c>
      <c r="G6" s="25" t="s">
        <v>25</v>
      </c>
      <c r="H6" s="26" t="str">
        <f>MID(G6,SEARCH(": ",G6)+2,3)</f>
        <v>0.2</v>
      </c>
      <c r="I6" s="32">
        <f>H6*1</f>
        <v>0.2</v>
      </c>
      <c r="K6" s="16" t="s">
        <v>17</v>
      </c>
      <c r="L6" s="20">
        <v>13.7</v>
      </c>
      <c r="M6" s="20">
        <v>6.1</v>
      </c>
      <c r="N6" s="20">
        <v>0.4</v>
      </c>
      <c r="O6" s="22" t="s">
        <v>33</v>
      </c>
      <c r="Q6" s="65"/>
      <c r="R6" s="68"/>
      <c r="S6" s="37"/>
      <c r="T6" s="37"/>
      <c r="U6" s="37"/>
      <c r="V6" s="37"/>
      <c r="W6" s="37"/>
      <c r="X6" s="37"/>
      <c r="Y6" s="67" t="s">
        <v>69</v>
      </c>
    </row>
    <row r="7" spans="2:25" ht="15.5" x14ac:dyDescent="0.35">
      <c r="F7" s="33" t="s">
        <v>30</v>
      </c>
      <c r="G7" s="34" t="s">
        <v>26</v>
      </c>
      <c r="H7" s="35" t="str">
        <f>MID(G7,SEARCH(": ",G7)+2,3)</f>
        <v>0.8</v>
      </c>
      <c r="I7" s="36">
        <f>H7*1</f>
        <v>0.8</v>
      </c>
      <c r="K7" s="16" t="s">
        <v>18</v>
      </c>
      <c r="L7" s="20">
        <v>67</v>
      </c>
      <c r="M7" s="20">
        <v>3</v>
      </c>
      <c r="N7" s="20">
        <v>0.1</v>
      </c>
      <c r="O7" s="22" t="s">
        <v>32</v>
      </c>
      <c r="P7" s="41"/>
      <c r="Q7" s="69" t="s">
        <v>90</v>
      </c>
      <c r="R7" s="58" t="b">
        <f>ISTEXT('Facility input'!D30)</f>
        <v>1</v>
      </c>
      <c r="S7" s="37"/>
      <c r="T7" s="55" t="str">
        <f>IF(V7=1,SUM(T8:T15),"")</f>
        <v/>
      </c>
      <c r="U7" s="52"/>
      <c r="V7" s="59">
        <f>SUM(V8:V15)</f>
        <v>0</v>
      </c>
      <c r="W7" s="37"/>
      <c r="X7" s="57">
        <v>0</v>
      </c>
      <c r="Y7" s="70" t="s">
        <v>36</v>
      </c>
    </row>
    <row r="8" spans="2:25" ht="15.5" x14ac:dyDescent="0.35">
      <c r="B8" s="18" t="s">
        <v>49</v>
      </c>
      <c r="F8" s="8"/>
      <c r="G8" s="8"/>
      <c r="H8" s="8"/>
      <c r="I8" s="10"/>
      <c r="K8" s="16" t="s">
        <v>19</v>
      </c>
      <c r="L8" s="20">
        <v>0.4</v>
      </c>
      <c r="M8" s="20">
        <v>3.8</v>
      </c>
      <c r="N8" s="20">
        <v>0.3</v>
      </c>
      <c r="O8" s="22" t="s">
        <v>34</v>
      </c>
      <c r="P8" s="42"/>
      <c r="Q8" s="71" t="s">
        <v>91</v>
      </c>
      <c r="R8" s="58" t="b">
        <f>ISTEXT('Facility input'!D29)</f>
        <v>1</v>
      </c>
      <c r="S8" s="37"/>
      <c r="T8" s="54">
        <f>IF('Facility input'!D11=SUM('Facility input'!D$11:D$18),Calculations!N4,0)</f>
        <v>0.4</v>
      </c>
      <c r="U8" s="53">
        <f>IF(ISTEXT('Facility input'!D11),0,1)</f>
        <v>1</v>
      </c>
      <c r="V8" s="60">
        <f>IF('Facility input'!D11&gt;0,1,0)</f>
        <v>0</v>
      </c>
      <c r="W8" s="37"/>
      <c r="X8" s="57">
        <v>1</v>
      </c>
      <c r="Y8" s="72" t="str">
        <f>CONCATENATE("&lt;==== Input default (",T7,") or another value or select from drop-down list")</f>
        <v>&lt;==== Input default () or another value or select from drop-down list</v>
      </c>
    </row>
    <row r="9" spans="2:25" ht="15.5" x14ac:dyDescent="0.35">
      <c r="B9" s="18" t="s">
        <v>50</v>
      </c>
      <c r="F9" s="8"/>
      <c r="H9" s="8"/>
      <c r="I9" s="10"/>
      <c r="K9" s="16" t="s">
        <v>20</v>
      </c>
      <c r="L9" s="20">
        <v>5.3</v>
      </c>
      <c r="M9" s="20">
        <v>6</v>
      </c>
      <c r="N9" s="20">
        <v>0.5</v>
      </c>
      <c r="O9" s="22" t="s">
        <v>32</v>
      </c>
      <c r="P9" s="42"/>
      <c r="Q9" s="65"/>
      <c r="R9" s="37"/>
      <c r="S9" s="37"/>
      <c r="T9" s="54">
        <f>IF('Facility input'!D12=SUM('Facility input'!D$11:D$18),Calculations!N5,0)</f>
        <v>0</v>
      </c>
      <c r="U9" s="53">
        <f>IF(ISTEXT('Facility input'!D12),0,1)</f>
        <v>1</v>
      </c>
      <c r="V9" s="60">
        <f>IF('Facility input'!D12&gt;0,1,0)</f>
        <v>0</v>
      </c>
      <c r="W9" s="37"/>
      <c r="X9" s="57">
        <v>2</v>
      </c>
      <c r="Y9" s="73" t="s">
        <v>96</v>
      </c>
    </row>
    <row r="10" spans="2:25" ht="15.5" x14ac:dyDescent="0.35">
      <c r="B10" s="39"/>
      <c r="F10" s="8"/>
      <c r="H10" s="8"/>
      <c r="I10" s="10"/>
      <c r="K10" s="16" t="s">
        <v>21</v>
      </c>
      <c r="L10" s="20">
        <v>23</v>
      </c>
      <c r="M10" s="20">
        <v>1.5</v>
      </c>
      <c r="N10" s="20">
        <v>0</v>
      </c>
      <c r="O10" s="22" t="s">
        <v>32</v>
      </c>
      <c r="P10" s="42"/>
      <c r="Q10" s="65"/>
      <c r="R10" s="37"/>
      <c r="S10" s="37"/>
      <c r="T10" s="54">
        <f>IF('Facility input'!D13=SUM('Facility input'!D$11:D$18),Calculations!N6,0)</f>
        <v>0.4</v>
      </c>
      <c r="U10" s="53">
        <f>IF(ISTEXT('Facility input'!D13),0,1)</f>
        <v>1</v>
      </c>
      <c r="V10" s="60">
        <f>IF('Facility input'!D13&gt;0,1,0)</f>
        <v>0</v>
      </c>
      <c r="W10" s="37"/>
      <c r="X10" s="57">
        <v>3</v>
      </c>
      <c r="Y10" s="73" t="s">
        <v>96</v>
      </c>
    </row>
    <row r="11" spans="2:25" ht="16" thickBot="1" x14ac:dyDescent="0.4">
      <c r="B11" s="40" t="s">
        <v>51</v>
      </c>
      <c r="E11" s="8"/>
      <c r="F11" s="8"/>
      <c r="G11" s="8"/>
      <c r="H11" s="8"/>
      <c r="I11" s="10"/>
      <c r="J11" s="5"/>
      <c r="K11" s="17" t="s">
        <v>38</v>
      </c>
      <c r="L11" s="23">
        <v>20</v>
      </c>
      <c r="M11" s="23">
        <v>0.2</v>
      </c>
      <c r="N11" s="23">
        <v>1</v>
      </c>
      <c r="O11" s="24" t="s">
        <v>32</v>
      </c>
      <c r="P11" s="42"/>
      <c r="Q11" s="65"/>
      <c r="R11" s="37"/>
      <c r="S11" s="37"/>
      <c r="T11" s="54">
        <f>IF('Facility input'!D14=SUM('Facility input'!D$11:D$18),Calculations!N7,0)</f>
        <v>0.1</v>
      </c>
      <c r="U11" s="53">
        <f>IF(ISTEXT('Facility input'!D14),0,1)</f>
        <v>1</v>
      </c>
      <c r="V11" s="60">
        <f>IF('Facility input'!D14&gt;0,1,0)</f>
        <v>0</v>
      </c>
      <c r="W11" s="37"/>
      <c r="X11" s="57">
        <v>4</v>
      </c>
      <c r="Y11" s="73" t="s">
        <v>96</v>
      </c>
    </row>
    <row r="12" spans="2:25" ht="15.5" x14ac:dyDescent="0.35">
      <c r="B12" s="40" t="s">
        <v>52</v>
      </c>
      <c r="D12" s="8"/>
      <c r="E12" s="8"/>
      <c r="F12" s="8"/>
      <c r="G12" s="8"/>
      <c r="H12" s="4"/>
      <c r="I12"/>
      <c r="P12" s="42"/>
      <c r="Q12" s="65"/>
      <c r="R12" s="37"/>
      <c r="S12" s="37"/>
      <c r="T12" s="54">
        <f>IF('Facility input'!D15=SUM('Facility input'!D$11:D$18),Calculations!N8,0)</f>
        <v>0.3</v>
      </c>
      <c r="U12" s="53">
        <f>IF(ISTEXT('Facility input'!D15),0,1)</f>
        <v>1</v>
      </c>
      <c r="V12" s="60">
        <f>IF('Facility input'!D15&gt;0,1,0)</f>
        <v>0</v>
      </c>
      <c r="W12" s="37"/>
      <c r="X12" s="57">
        <v>5</v>
      </c>
      <c r="Y12" s="73" t="s">
        <v>96</v>
      </c>
    </row>
    <row r="13" spans="2:25" ht="15.5" x14ac:dyDescent="0.3">
      <c r="C13" s="8"/>
      <c r="D13" s="8"/>
      <c r="E13" s="8"/>
      <c r="F13" s="8"/>
      <c r="G13" s="8"/>
      <c r="H13" s="5"/>
      <c r="I13" s="37"/>
      <c r="P13" s="42"/>
      <c r="Q13" s="65"/>
      <c r="R13" s="37"/>
      <c r="S13" s="37"/>
      <c r="T13" s="54">
        <f>IF('Facility input'!D16=SUM('Facility input'!D$11:D$18),Calculations!M9,0)</f>
        <v>6</v>
      </c>
      <c r="U13" s="53">
        <f>IF(ISTEXT('Facility input'!D16),0,1)</f>
        <v>1</v>
      </c>
      <c r="V13" s="61">
        <f>IF('Facility input'!D16&gt;0,1,0)</f>
        <v>0</v>
      </c>
      <c r="W13" s="37"/>
      <c r="X13" s="57">
        <v>6</v>
      </c>
      <c r="Y13" s="73" t="s">
        <v>96</v>
      </c>
    </row>
    <row r="14" spans="2:25" ht="15.5" x14ac:dyDescent="0.3">
      <c r="B14" s="85" t="s">
        <v>124</v>
      </c>
      <c r="C14" s="11"/>
      <c r="D14" s="8"/>
      <c r="E14" s="8"/>
      <c r="F14" s="8"/>
      <c r="G14" s="8"/>
      <c r="H14" s="5"/>
      <c r="I14" s="37"/>
      <c r="J14"/>
      <c r="P14" s="42"/>
      <c r="Q14" s="65"/>
      <c r="R14" s="37"/>
      <c r="S14" s="37"/>
      <c r="T14" s="54">
        <f>IF('Facility input'!D17=SUM('Facility input'!D$11:D$18),Calculations!N10,0)</f>
        <v>0</v>
      </c>
      <c r="U14" s="53">
        <f>IF(ISTEXT('Facility input'!D17),0,1)</f>
        <v>1</v>
      </c>
      <c r="V14" s="61">
        <f>IF('Facility input'!D17&gt;0,1,0)</f>
        <v>0</v>
      </c>
      <c r="W14" s="37"/>
      <c r="X14" s="57">
        <v>7</v>
      </c>
      <c r="Y14" s="73" t="s">
        <v>96</v>
      </c>
    </row>
    <row r="15" spans="2:25" ht="15.5" x14ac:dyDescent="0.3">
      <c r="B15" s="85" t="s">
        <v>45</v>
      </c>
      <c r="C15" s="11"/>
      <c r="D15" s="8"/>
      <c r="E15" s="8"/>
      <c r="F15" s="8"/>
      <c r="G15" s="8"/>
      <c r="H15" s="5"/>
      <c r="I15" s="37"/>
      <c r="J15"/>
      <c r="P15" s="42"/>
      <c r="Q15" s="65"/>
      <c r="R15" s="37"/>
      <c r="S15" s="37"/>
      <c r="T15" s="54">
        <f>IF('Facility input'!D18=SUM('Facility input'!D$11:D$18),Calculations!M11,0)</f>
        <v>0.2</v>
      </c>
      <c r="U15" s="53">
        <f>IF(ISTEXT('Facility input'!D18),0,1)</f>
        <v>1</v>
      </c>
      <c r="V15" s="61">
        <f>IF('Facility input'!D18&gt;0,1,0)</f>
        <v>0</v>
      </c>
      <c r="W15" s="37"/>
      <c r="X15" s="57">
        <v>8</v>
      </c>
      <c r="Y15" s="73" t="s">
        <v>96</v>
      </c>
    </row>
    <row r="16" spans="2:25" x14ac:dyDescent="0.3">
      <c r="B16"/>
      <c r="C16" s="11"/>
      <c r="D16" s="8"/>
      <c r="E16" s="8"/>
      <c r="F16" s="8"/>
      <c r="G16" s="8"/>
      <c r="H16" s="5"/>
      <c r="I16" s="37"/>
      <c r="J16"/>
      <c r="Q16" s="74"/>
      <c r="R16" s="75"/>
      <c r="S16" s="75"/>
      <c r="T16" s="75"/>
      <c r="U16" s="75"/>
      <c r="V16" s="75"/>
      <c r="W16" s="75"/>
      <c r="X16" s="76">
        <v>9</v>
      </c>
      <c r="Y16" s="77" t="s">
        <v>96</v>
      </c>
    </row>
    <row r="17" spans="1:25" x14ac:dyDescent="0.3">
      <c r="B17" s="12"/>
      <c r="C17" s="8"/>
      <c r="D17" s="8"/>
      <c r="E17" s="8"/>
      <c r="F17" s="8"/>
      <c r="G17" s="8"/>
      <c r="H17" s="5"/>
      <c r="I17" s="37"/>
      <c r="J17"/>
      <c r="Q17" s="37"/>
      <c r="R17" s="37"/>
      <c r="S17" s="37"/>
      <c r="T17" s="37"/>
      <c r="U17" s="37"/>
      <c r="V17" s="37"/>
      <c r="W17" s="37"/>
    </row>
    <row r="18" spans="1:25" x14ac:dyDescent="0.3">
      <c r="B18" s="12"/>
      <c r="E18" s="5"/>
      <c r="F18" s="8"/>
      <c r="G18" s="8"/>
      <c r="H18" s="5"/>
      <c r="I18" s="37"/>
      <c r="J18"/>
      <c r="Q18" s="62"/>
      <c r="R18" s="79" t="s">
        <v>42</v>
      </c>
      <c r="S18" s="63"/>
      <c r="T18" s="63"/>
      <c r="U18" s="63"/>
      <c r="V18" s="63"/>
      <c r="W18" s="63"/>
      <c r="X18" s="63"/>
      <c r="Y18" s="64" t="s">
        <v>71</v>
      </c>
    </row>
    <row r="19" spans="1:25" x14ac:dyDescent="0.3">
      <c r="B19" s="12"/>
      <c r="E19" s="5"/>
      <c r="F19" s="5"/>
      <c r="G19" s="5"/>
      <c r="H19" s="8"/>
      <c r="I19" s="8"/>
      <c r="J19"/>
      <c r="Q19" s="65"/>
      <c r="R19" s="80"/>
      <c r="S19" s="37"/>
      <c r="T19" s="37"/>
      <c r="U19" s="37"/>
      <c r="V19" s="37"/>
      <c r="W19" s="37"/>
      <c r="X19" s="37"/>
      <c r="Y19" s="66" t="s">
        <v>92</v>
      </c>
    </row>
    <row r="20" spans="1:25" x14ac:dyDescent="0.3">
      <c r="B20" s="327" t="s">
        <v>71</v>
      </c>
      <c r="C20" s="327"/>
      <c r="D20" s="327"/>
      <c r="E20" s="5"/>
      <c r="F20" s="5"/>
      <c r="G20" s="5"/>
      <c r="H20" s="8"/>
      <c r="I20" s="8"/>
      <c r="J20"/>
      <c r="Q20" s="65"/>
      <c r="R20" s="37"/>
      <c r="S20" s="37"/>
      <c r="T20" s="37"/>
      <c r="U20" s="37"/>
      <c r="V20" s="37"/>
      <c r="W20" s="37"/>
      <c r="X20" s="37"/>
      <c r="Y20" s="67"/>
    </row>
    <row r="21" spans="1:25" x14ac:dyDescent="0.3">
      <c r="A21" s="45" t="s">
        <v>70</v>
      </c>
      <c r="B21" s="44" t="s">
        <v>72</v>
      </c>
      <c r="D21" s="48" t="s">
        <v>194</v>
      </c>
      <c r="E21" s="5"/>
      <c r="F21" s="5"/>
      <c r="G21" s="5"/>
      <c r="H21" s="8"/>
      <c r="I21" s="8"/>
      <c r="K21" s="84" t="s">
        <v>95</v>
      </c>
      <c r="Q21" s="65"/>
      <c r="R21" s="68"/>
      <c r="S21" s="68"/>
      <c r="T21" s="37"/>
      <c r="U21" s="37"/>
      <c r="V21" s="37"/>
      <c r="W21" s="37"/>
      <c r="X21" s="37"/>
      <c r="Y21" s="67"/>
    </row>
    <row r="22" spans="1:25" ht="12.75" customHeight="1" x14ac:dyDescent="0.45">
      <c r="A22" s="43" t="s">
        <v>73</v>
      </c>
      <c r="B22" s="46" t="s">
        <v>22</v>
      </c>
      <c r="C22" s="47" t="s">
        <v>73</v>
      </c>
      <c r="D22" s="2" t="s">
        <v>74</v>
      </c>
      <c r="E22" s="5"/>
      <c r="F22" s="5"/>
      <c r="G22" s="5"/>
      <c r="H22" s="8"/>
      <c r="I22" s="8"/>
      <c r="K22" s="84" t="s">
        <v>97</v>
      </c>
      <c r="Q22" s="69" t="s">
        <v>90</v>
      </c>
      <c r="R22" s="58" t="b">
        <f>ISTEXT(#REF!)</f>
        <v>0</v>
      </c>
      <c r="S22" s="37"/>
      <c r="T22" s="55" t="e">
        <f>IF(V22=1,SUM(T23:T30),"")</f>
        <v>#REF!</v>
      </c>
      <c r="U22" s="52"/>
      <c r="V22" s="59" t="e">
        <f>SUM(V23:V30)</f>
        <v>#REF!</v>
      </c>
      <c r="W22" s="37"/>
      <c r="X22" s="57">
        <v>0</v>
      </c>
      <c r="Y22" s="70" t="s">
        <v>36</v>
      </c>
    </row>
    <row r="23" spans="1:25" ht="17.5" x14ac:dyDescent="0.45">
      <c r="A23" s="43" t="s">
        <v>80</v>
      </c>
      <c r="B23" s="49" t="s">
        <v>46</v>
      </c>
      <c r="C23" s="47" t="s">
        <v>80</v>
      </c>
      <c r="D23" s="49" t="s">
        <v>46</v>
      </c>
      <c r="E23" s="5"/>
      <c r="F23" s="8"/>
      <c r="G23" s="8"/>
      <c r="H23" s="8"/>
      <c r="I23" s="8"/>
      <c r="K23" s="84" t="s">
        <v>37</v>
      </c>
      <c r="Q23" s="71" t="s">
        <v>91</v>
      </c>
      <c r="R23" s="58" t="b">
        <f>ISTEXT(#REF!)</f>
        <v>0</v>
      </c>
      <c r="S23" s="37"/>
      <c r="T23" s="54" t="e">
        <f>IF(#REF!=SUM(#REF!),Calculations!N4,0)</f>
        <v>#REF!</v>
      </c>
      <c r="U23" s="53">
        <f>IF(ISTEXT(#REF!),0,1)</f>
        <v>1</v>
      </c>
      <c r="V23" s="60" t="e">
        <f>IF(#REF!&gt;0,1,0)</f>
        <v>#REF!</v>
      </c>
      <c r="W23" s="37"/>
      <c r="X23" s="57">
        <v>1</v>
      </c>
      <c r="Y23" s="72" t="e">
        <f>CONCATENATE("&lt;==== Input default (",T22,") or another value or select from drop-down list")</f>
        <v>#REF!</v>
      </c>
    </row>
    <row r="24" spans="1:25" ht="17.5" x14ac:dyDescent="0.45">
      <c r="A24" s="43" t="s">
        <v>81</v>
      </c>
      <c r="B24" s="56" t="s">
        <v>4</v>
      </c>
      <c r="C24" s="47" t="s">
        <v>81</v>
      </c>
      <c r="D24" s="56" t="s">
        <v>4</v>
      </c>
      <c r="E24" s="5"/>
      <c r="F24" s="8"/>
      <c r="G24" s="8"/>
      <c r="H24" s="8"/>
      <c r="I24" s="8"/>
      <c r="J24" s="83" t="s">
        <v>98</v>
      </c>
      <c r="K24" s="84" t="s">
        <v>99</v>
      </c>
      <c r="Q24" s="65"/>
      <c r="R24" s="37"/>
      <c r="S24" s="37"/>
      <c r="T24" s="54" t="e">
        <f>IF(#REF!=SUM(#REF!),Calculations!N5,0)</f>
        <v>#REF!</v>
      </c>
      <c r="U24" s="53">
        <f>IF(ISTEXT(#REF!),0,1)</f>
        <v>1</v>
      </c>
      <c r="V24" s="60" t="e">
        <f>IF(#REF!&gt;0,1,0)</f>
        <v>#REF!</v>
      </c>
      <c r="W24" s="37"/>
      <c r="X24" s="57">
        <v>2</v>
      </c>
      <c r="Y24" s="73" t="s">
        <v>96</v>
      </c>
    </row>
    <row r="25" spans="1:25" ht="17.5" x14ac:dyDescent="0.45">
      <c r="A25" s="43" t="s">
        <v>82</v>
      </c>
      <c r="B25" s="49" t="s">
        <v>8</v>
      </c>
      <c r="C25" s="47" t="s">
        <v>82</v>
      </c>
      <c r="D25" s="49" t="s">
        <v>8</v>
      </c>
      <c r="E25" s="5"/>
      <c r="F25" s="11"/>
      <c r="G25" s="5"/>
      <c r="H25" s="8"/>
      <c r="I25" s="8"/>
      <c r="J25" s="83" t="s">
        <v>100</v>
      </c>
      <c r="K25" s="84" t="s">
        <v>96</v>
      </c>
      <c r="Q25" s="65"/>
      <c r="R25" s="37"/>
      <c r="S25" s="37"/>
      <c r="T25" s="54" t="e">
        <f>IF(#REF!=SUM(#REF!),Calculations!N6,0)</f>
        <v>#REF!</v>
      </c>
      <c r="U25" s="53">
        <f>IF(ISTEXT(#REF!),0,1)</f>
        <v>1</v>
      </c>
      <c r="V25" s="60" t="e">
        <f>IF(#REF!&gt;0,1,0)</f>
        <v>#REF!</v>
      </c>
      <c r="W25" s="37"/>
      <c r="X25" s="57">
        <v>3</v>
      </c>
      <c r="Y25" s="73" t="s">
        <v>96</v>
      </c>
    </row>
    <row r="26" spans="1:25" ht="15.5" x14ac:dyDescent="0.35">
      <c r="A26" s="43" t="s">
        <v>83</v>
      </c>
      <c r="B26" s="82" t="s">
        <v>93</v>
      </c>
      <c r="C26" s="47" t="s">
        <v>83</v>
      </c>
      <c r="D26" s="49" t="s">
        <v>138</v>
      </c>
      <c r="E26" s="5"/>
      <c r="F26" s="11"/>
      <c r="G26" s="5"/>
      <c r="H26" s="8"/>
      <c r="I26" s="8"/>
      <c r="K26" s="84" t="s">
        <v>101</v>
      </c>
      <c r="Q26" s="65"/>
      <c r="R26" s="37"/>
      <c r="S26" s="37"/>
      <c r="T26" s="54" t="e">
        <f>IF(#REF!=SUM(#REF!),Calculations!N7,0)</f>
        <v>#REF!</v>
      </c>
      <c r="U26" s="53">
        <f>IF(ISTEXT(#REF!),0,1)</f>
        <v>1</v>
      </c>
      <c r="V26" s="60" t="e">
        <f>IF(#REF!&gt;0,1,0)</f>
        <v>#REF!</v>
      </c>
      <c r="W26" s="37"/>
      <c r="X26" s="57">
        <v>4</v>
      </c>
      <c r="Y26" s="73" t="s">
        <v>96</v>
      </c>
    </row>
    <row r="27" spans="1:25" ht="17.5" x14ac:dyDescent="0.45">
      <c r="A27" s="43" t="s">
        <v>84</v>
      </c>
      <c r="B27" s="56" t="s">
        <v>5</v>
      </c>
      <c r="C27" s="47" t="s">
        <v>84</v>
      </c>
      <c r="D27" s="56" t="s">
        <v>123</v>
      </c>
      <c r="E27" s="8"/>
      <c r="F27" s="11"/>
      <c r="G27" s="38"/>
      <c r="H27" s="8"/>
      <c r="I27" s="8"/>
      <c r="J27" s="2" t="s">
        <v>122</v>
      </c>
      <c r="K27" s="84" t="s">
        <v>121</v>
      </c>
      <c r="Q27" s="65"/>
      <c r="R27" s="37"/>
      <c r="S27" s="37"/>
      <c r="T27" s="54" t="e">
        <f>IF(#REF!=SUM(#REF!),Calculations!N8,0)</f>
        <v>#REF!</v>
      </c>
      <c r="U27" s="53">
        <f>IF(ISTEXT(#REF!),0,1)</f>
        <v>1</v>
      </c>
      <c r="V27" s="60" t="e">
        <f>IF(#REF!&gt;0,1,0)</f>
        <v>#REF!</v>
      </c>
      <c r="W27" s="37"/>
      <c r="X27" s="57">
        <v>5</v>
      </c>
      <c r="Y27" s="73" t="s">
        <v>96</v>
      </c>
    </row>
    <row r="28" spans="1:25" ht="17.5" x14ac:dyDescent="0.45">
      <c r="A28" s="43" t="s">
        <v>85</v>
      </c>
      <c r="B28" s="56" t="s">
        <v>14</v>
      </c>
      <c r="C28" s="47" t="s">
        <v>85</v>
      </c>
      <c r="D28" s="56" t="s">
        <v>14</v>
      </c>
      <c r="E28" s="8"/>
      <c r="F28" s="11"/>
      <c r="G28" s="5"/>
      <c r="H28" s="8"/>
      <c r="I28" s="8"/>
      <c r="Q28" s="65"/>
      <c r="R28" s="37"/>
      <c r="S28" s="37"/>
      <c r="T28" s="54" t="e">
        <f>IF(#REF!=SUM(#REF!),Calculations!M9,0)</f>
        <v>#REF!</v>
      </c>
      <c r="U28" s="53">
        <f>IF(ISTEXT(#REF!),0,1)</f>
        <v>1</v>
      </c>
      <c r="V28" s="61" t="e">
        <f>IF(#REF!&gt;0,1,0)</f>
        <v>#REF!</v>
      </c>
      <c r="W28" s="37"/>
      <c r="X28" s="57">
        <v>6</v>
      </c>
      <c r="Y28" s="73" t="s">
        <v>96</v>
      </c>
    </row>
    <row r="29" spans="1:25" ht="17.5" x14ac:dyDescent="0.45">
      <c r="A29" s="43" t="s">
        <v>86</v>
      </c>
      <c r="B29" s="56" t="s">
        <v>11</v>
      </c>
      <c r="C29" s="47" t="s">
        <v>86</v>
      </c>
      <c r="D29" s="56" t="s">
        <v>11</v>
      </c>
      <c r="E29" s="8"/>
      <c r="F29" s="11"/>
      <c r="G29" s="11"/>
      <c r="H29" s="8"/>
      <c r="I29" s="8"/>
      <c r="Q29" s="65"/>
      <c r="R29" s="37"/>
      <c r="S29" s="37"/>
      <c r="T29" s="54" t="e">
        <f>IF(#REF!=SUM(#REF!),Calculations!N10,0)</f>
        <v>#REF!</v>
      </c>
      <c r="U29" s="53">
        <f>IF(ISTEXT(#REF!),0,1)</f>
        <v>1</v>
      </c>
      <c r="V29" s="61" t="e">
        <f>IF(#REF!&gt;0,1,0)</f>
        <v>#REF!</v>
      </c>
      <c r="W29" s="37"/>
      <c r="X29" s="57">
        <v>7</v>
      </c>
      <c r="Y29" s="73" t="s">
        <v>96</v>
      </c>
    </row>
    <row r="30" spans="1:25" ht="17.5" x14ac:dyDescent="0.45">
      <c r="A30" s="43" t="s">
        <v>87</v>
      </c>
      <c r="B30" s="56" t="s">
        <v>12</v>
      </c>
      <c r="C30" s="47" t="s">
        <v>87</v>
      </c>
      <c r="D30" s="56" t="s">
        <v>12</v>
      </c>
      <c r="E30" s="8"/>
      <c r="F30" s="11"/>
      <c r="G30" s="11"/>
      <c r="H30" s="8"/>
      <c r="I30" s="8"/>
      <c r="Q30" s="65"/>
      <c r="R30" s="37"/>
      <c r="S30" s="37"/>
      <c r="T30" s="54" t="e">
        <f>IF(#REF!=SUM(#REF!),Calculations!M11,0)</f>
        <v>#REF!</v>
      </c>
      <c r="U30" s="53">
        <f>IF(ISTEXT(#REF!),0,1)</f>
        <v>1</v>
      </c>
      <c r="V30" s="61" t="e">
        <f>IF(#REF!&gt;0,1,0)</f>
        <v>#REF!</v>
      </c>
      <c r="W30" s="37"/>
      <c r="X30" s="57">
        <v>8</v>
      </c>
      <c r="Y30" s="73" t="s">
        <v>96</v>
      </c>
    </row>
    <row r="31" spans="1:25" ht="17.5" x14ac:dyDescent="0.45">
      <c r="A31" s="43" t="s">
        <v>75</v>
      </c>
      <c r="B31" s="56" t="s">
        <v>13</v>
      </c>
      <c r="C31" s="47" t="s">
        <v>75</v>
      </c>
      <c r="D31" s="56" t="s">
        <v>13</v>
      </c>
      <c r="E31" s="8"/>
      <c r="F31" s="11"/>
      <c r="G31" s="11"/>
      <c r="H31" s="8"/>
      <c r="I31" s="8"/>
      <c r="Q31" s="74"/>
      <c r="R31" s="75"/>
      <c r="S31" s="75"/>
      <c r="T31" s="75"/>
      <c r="U31" s="75"/>
      <c r="V31" s="75"/>
      <c r="W31" s="75"/>
      <c r="X31" s="76">
        <v>9</v>
      </c>
    </row>
    <row r="32" spans="1:25" ht="17.5" x14ac:dyDescent="0.45">
      <c r="A32" s="43" t="s">
        <v>76</v>
      </c>
      <c r="B32" s="56" t="s">
        <v>77</v>
      </c>
      <c r="C32" s="47" t="s">
        <v>76</v>
      </c>
      <c r="D32" s="56" t="s">
        <v>57</v>
      </c>
      <c r="E32" s="8"/>
      <c r="F32" s="11"/>
      <c r="G32" s="11"/>
      <c r="H32" s="8"/>
      <c r="I32" s="8"/>
      <c r="Q32" s="37"/>
      <c r="R32" s="37"/>
      <c r="S32" s="37"/>
      <c r="T32" s="37"/>
      <c r="U32" s="37"/>
      <c r="V32" s="37"/>
      <c r="W32" s="37"/>
    </row>
    <row r="33" spans="1:25" ht="17.5" x14ac:dyDescent="0.45">
      <c r="A33" s="43" t="s">
        <v>79</v>
      </c>
      <c r="B33" s="56" t="s">
        <v>78</v>
      </c>
      <c r="C33" s="47" t="s">
        <v>79</v>
      </c>
      <c r="D33" s="15" t="s">
        <v>58</v>
      </c>
      <c r="E33" s="8"/>
      <c r="F33" s="11"/>
      <c r="G33" s="11"/>
      <c r="H33" s="8"/>
      <c r="I33" s="8"/>
      <c r="Q33" s="62"/>
      <c r="R33" s="78" t="s">
        <v>43</v>
      </c>
      <c r="S33" s="63"/>
      <c r="T33" s="63"/>
      <c r="U33" s="63"/>
      <c r="V33" s="63"/>
      <c r="W33" s="63"/>
      <c r="X33" s="63"/>
      <c r="Y33" s="64" t="s">
        <v>71</v>
      </c>
    </row>
    <row r="34" spans="1:25" ht="17.5" x14ac:dyDescent="0.45">
      <c r="A34" s="43" t="s">
        <v>88</v>
      </c>
      <c r="B34" s="49" t="s">
        <v>6</v>
      </c>
      <c r="C34" s="47" t="s">
        <v>88</v>
      </c>
      <c r="D34" s="49" t="s">
        <v>6</v>
      </c>
      <c r="E34" s="8"/>
      <c r="F34" s="11"/>
      <c r="G34" s="11"/>
      <c r="H34" s="8"/>
      <c r="I34" s="8"/>
      <c r="Q34" s="65"/>
      <c r="R34" s="81"/>
      <c r="S34" s="37"/>
      <c r="T34" s="37"/>
      <c r="U34" s="37"/>
      <c r="V34" s="37"/>
      <c r="W34" s="37"/>
      <c r="X34" s="37"/>
      <c r="Y34" s="66" t="s">
        <v>92</v>
      </c>
    </row>
    <row r="35" spans="1:25" ht="17.5" x14ac:dyDescent="0.45">
      <c r="A35" s="43" t="s">
        <v>89</v>
      </c>
      <c r="B35" s="49" t="s">
        <v>7</v>
      </c>
      <c r="C35" s="47" t="s">
        <v>89</v>
      </c>
      <c r="D35" s="49" t="s">
        <v>7</v>
      </c>
      <c r="E35" s="5"/>
      <c r="F35" s="5"/>
      <c r="G35" s="5"/>
      <c r="H35" s="8"/>
      <c r="I35" s="8"/>
      <c r="Q35" s="65"/>
      <c r="R35" s="37"/>
      <c r="S35" s="37"/>
      <c r="T35" s="37"/>
      <c r="U35" s="37"/>
      <c r="V35" s="37"/>
      <c r="W35" s="37"/>
      <c r="X35" s="53"/>
      <c r="Y35" s="67"/>
    </row>
    <row r="36" spans="1:25" x14ac:dyDescent="0.3">
      <c r="B36"/>
      <c r="E36" s="5"/>
      <c r="F36" s="5"/>
      <c r="G36" s="5"/>
      <c r="H36" s="8"/>
      <c r="I36" s="8"/>
      <c r="Q36" s="65"/>
      <c r="R36" s="68"/>
      <c r="S36" s="68"/>
      <c r="T36" s="37"/>
      <c r="U36" s="37"/>
      <c r="V36" s="37"/>
      <c r="W36" s="37"/>
      <c r="X36" s="37"/>
      <c r="Y36" s="67"/>
    </row>
    <row r="37" spans="1:25" ht="15.5" x14ac:dyDescent="0.3">
      <c r="B37" s="48" t="s">
        <v>102</v>
      </c>
      <c r="D37" s="48" t="s">
        <v>102</v>
      </c>
      <c r="E37" s="5"/>
      <c r="F37" s="5"/>
      <c r="G37" s="5"/>
      <c r="H37" s="8"/>
      <c r="I37" s="8"/>
      <c r="Q37" s="69" t="s">
        <v>90</v>
      </c>
      <c r="R37" s="58" t="b">
        <f>ISTEXT(#REF!)</f>
        <v>0</v>
      </c>
      <c r="S37" s="37"/>
      <c r="T37" s="55" t="e">
        <f>IF(V37=1,SUM(T38:T45),"")</f>
        <v>#REF!</v>
      </c>
      <c r="U37" s="52"/>
      <c r="V37" s="59" t="e">
        <f>SUM(V38:V45)</f>
        <v>#REF!</v>
      </c>
      <c r="W37" s="37"/>
      <c r="X37" s="57">
        <v>0</v>
      </c>
      <c r="Y37" s="70" t="s">
        <v>36</v>
      </c>
    </row>
    <row r="38" spans="1:25" ht="15.5" x14ac:dyDescent="0.35">
      <c r="A38" s="43" t="s">
        <v>103</v>
      </c>
      <c r="B38" s="86" t="s">
        <v>104</v>
      </c>
      <c r="E38" s="5"/>
      <c r="F38" s="5"/>
      <c r="G38" s="5"/>
      <c r="H38" s="8"/>
      <c r="I38" s="8"/>
      <c r="Q38" s="71" t="s">
        <v>91</v>
      </c>
      <c r="R38" s="58" t="b">
        <f>ISTEXT(#REF!)</f>
        <v>0</v>
      </c>
      <c r="S38" s="37"/>
      <c r="T38" s="54" t="e">
        <f>IF(#REF!=SUM(#REF!),Calculations!N4,0)</f>
        <v>#REF!</v>
      </c>
      <c r="U38" s="53">
        <f>IF(ISTEXT(#REF!),0,1)</f>
        <v>1</v>
      </c>
      <c r="V38" s="60" t="e">
        <f>IF(#REF!&gt;0,1,0)</f>
        <v>#REF!</v>
      </c>
      <c r="W38" s="37"/>
      <c r="X38" s="57">
        <v>1</v>
      </c>
      <c r="Y38" s="72" t="e">
        <f>CONCATENATE("&lt;==== Input default (",T37,") or another value or select from drop-down list")</f>
        <v>#REF!</v>
      </c>
    </row>
    <row r="39" spans="1:25" x14ac:dyDescent="0.3">
      <c r="B39"/>
      <c r="E39" s="5"/>
      <c r="F39" s="5"/>
      <c r="G39" s="5"/>
      <c r="H39" s="5"/>
      <c r="I39" s="5"/>
      <c r="Q39" s="65"/>
      <c r="R39" s="37"/>
      <c r="S39" s="37"/>
      <c r="T39" s="54" t="e">
        <f>IF(#REF!=SUM(#REF!),Calculations!N5,0)</f>
        <v>#REF!</v>
      </c>
      <c r="U39" s="53">
        <f>IF(ISTEXT(#REF!),0,1)</f>
        <v>1</v>
      </c>
      <c r="V39" s="60" t="e">
        <f>IF(#REF!&gt;0,1,0)</f>
        <v>#REF!</v>
      </c>
      <c r="W39" s="37"/>
      <c r="X39" s="57">
        <v>2</v>
      </c>
      <c r="Y39" s="73" t="s">
        <v>96</v>
      </c>
    </row>
    <row r="40" spans="1:25" x14ac:dyDescent="0.3">
      <c r="B40"/>
      <c r="E40" s="5"/>
      <c r="F40" s="5"/>
      <c r="G40" s="5"/>
      <c r="H40" s="5"/>
      <c r="I40" s="5"/>
      <c r="Q40" s="65"/>
      <c r="R40" s="37"/>
      <c r="S40" s="37"/>
      <c r="T40" s="54" t="e">
        <f>IF(#REF!=SUM(#REF!),Calculations!N6,0)</f>
        <v>#REF!</v>
      </c>
      <c r="U40" s="53">
        <f>IF(ISTEXT(#REF!),0,1)</f>
        <v>1</v>
      </c>
      <c r="V40" s="60" t="e">
        <f>IF(#REF!&gt;0,1,0)</f>
        <v>#REF!</v>
      </c>
      <c r="W40" s="37"/>
      <c r="X40" s="57">
        <v>3</v>
      </c>
      <c r="Y40" s="73" t="s">
        <v>96</v>
      </c>
    </row>
    <row r="41" spans="1:25" x14ac:dyDescent="0.3">
      <c r="B41"/>
      <c r="E41" s="5"/>
      <c r="F41" s="5"/>
      <c r="G41" s="5"/>
      <c r="H41" s="5"/>
      <c r="I41" s="5"/>
      <c r="Q41" s="65"/>
      <c r="R41" s="37"/>
      <c r="S41" s="37"/>
      <c r="T41" s="54" t="e">
        <f>IF(#REF!=SUM(#REF!),Calculations!N7,0)</f>
        <v>#REF!</v>
      </c>
      <c r="U41" s="53">
        <f>IF(ISTEXT(#REF!),0,1)</f>
        <v>1</v>
      </c>
      <c r="V41" s="60" t="e">
        <f>IF(#REF!&gt;0,1,0)</f>
        <v>#REF!</v>
      </c>
      <c r="W41" s="37"/>
      <c r="X41" s="57">
        <v>4</v>
      </c>
      <c r="Y41" s="73" t="s">
        <v>96</v>
      </c>
    </row>
    <row r="42" spans="1:25" x14ac:dyDescent="0.3">
      <c r="B42"/>
      <c r="E42" s="5"/>
      <c r="F42" s="5"/>
      <c r="G42" s="5"/>
      <c r="H42" s="5"/>
      <c r="I42" s="5"/>
      <c r="Q42" s="65"/>
      <c r="R42" s="37"/>
      <c r="S42" s="37"/>
      <c r="T42" s="54" t="e">
        <f>IF(#REF!=SUM(#REF!),Calculations!N8,0)</f>
        <v>#REF!</v>
      </c>
      <c r="U42" s="53">
        <f>IF(ISTEXT(#REF!),0,1)</f>
        <v>1</v>
      </c>
      <c r="V42" s="60" t="e">
        <f>IF(#REF!&gt;0,1,0)</f>
        <v>#REF!</v>
      </c>
      <c r="W42" s="37"/>
      <c r="X42" s="57">
        <v>5</v>
      </c>
      <c r="Y42" s="73" t="s">
        <v>96</v>
      </c>
    </row>
    <row r="43" spans="1:25" ht="16.5" x14ac:dyDescent="0.35">
      <c r="B43" s="333" t="s">
        <v>63</v>
      </c>
      <c r="C43" s="334"/>
      <c r="D43" s="334"/>
      <c r="E43" s="334"/>
      <c r="F43" s="334"/>
      <c r="G43" s="108" t="s">
        <v>47</v>
      </c>
      <c r="H43" s="107"/>
      <c r="I43" s="106"/>
      <c r="J43" s="101">
        <f>H56</f>
        <v>0</v>
      </c>
      <c r="K43" s="102" t="s">
        <v>110</v>
      </c>
      <c r="L43" s="99"/>
      <c r="M43" s="87"/>
      <c r="Q43" s="65"/>
      <c r="R43" s="37"/>
      <c r="S43" s="37"/>
      <c r="T43" s="54" t="e">
        <f>IF(#REF!=SUM(#REF!),Calculations!M9,0)</f>
        <v>#REF!</v>
      </c>
      <c r="U43" s="53">
        <f>IF(ISTEXT(#REF!),0,1)</f>
        <v>1</v>
      </c>
      <c r="V43" s="61" t="e">
        <f>IF(#REF!&gt;0,1,0)</f>
        <v>#REF!</v>
      </c>
      <c r="W43" s="37"/>
      <c r="X43" s="57">
        <v>6</v>
      </c>
      <c r="Y43" s="73" t="s">
        <v>96</v>
      </c>
    </row>
    <row r="44" spans="1:25" ht="16.5" x14ac:dyDescent="0.35">
      <c r="B44" s="324" t="s">
        <v>55</v>
      </c>
      <c r="C44" s="325"/>
      <c r="D44" s="325"/>
      <c r="E44" s="325"/>
      <c r="F44" s="326"/>
      <c r="G44" s="108" t="s">
        <v>47</v>
      </c>
      <c r="H44" s="107"/>
      <c r="I44" s="106"/>
      <c r="J44" s="101">
        <f>H57</f>
        <v>0</v>
      </c>
      <c r="K44" s="103" t="s">
        <v>111</v>
      </c>
      <c r="L44" s="99"/>
      <c r="M44" s="87"/>
      <c r="Q44" s="65"/>
      <c r="R44" s="37"/>
      <c r="S44" s="37"/>
      <c r="T44" s="54" t="e">
        <f>IF(#REF!=SUM(#REF!),Calculations!N10,0)</f>
        <v>#REF!</v>
      </c>
      <c r="U44" s="53">
        <f>IF(ISTEXT(#REF!),0,1)</f>
        <v>1</v>
      </c>
      <c r="V44" s="61" t="e">
        <f>IF(#REF!&gt;0,1,0)</f>
        <v>#REF!</v>
      </c>
      <c r="W44" s="37"/>
      <c r="X44" s="57">
        <v>7</v>
      </c>
      <c r="Y44" s="73" t="s">
        <v>96</v>
      </c>
    </row>
    <row r="45" spans="1:25" ht="16.5" x14ac:dyDescent="0.35">
      <c r="B45" s="324" t="s">
        <v>56</v>
      </c>
      <c r="C45" s="325"/>
      <c r="D45" s="325"/>
      <c r="E45" s="325"/>
      <c r="F45" s="326"/>
      <c r="G45" s="108"/>
      <c r="H45" s="107"/>
      <c r="I45" s="106"/>
      <c r="J45" s="101" t="str">
        <f>IF(ISERROR((SUMIF(H70,"&gt;0")+SUMIF(H70,"&lt;0"))*100/SUM(H68)),"0.00",(SUMIF(H70,"&gt;0")+SUMIF(H73,"&lt;0"))*100/SUM(H68))</f>
        <v>0.00</v>
      </c>
      <c r="K45" s="104" t="s">
        <v>112</v>
      </c>
      <c r="L45" s="99"/>
      <c r="M45" s="87"/>
      <c r="Q45" s="65"/>
      <c r="R45" s="37"/>
      <c r="S45" s="37"/>
      <c r="T45" s="54" t="e">
        <f>IF(#REF!=SUM(#REF!),Calculations!M11,0)</f>
        <v>#REF!</v>
      </c>
      <c r="U45" s="53">
        <f>IF(ISTEXT(#REF!),0,1)</f>
        <v>1</v>
      </c>
      <c r="V45" s="61" t="e">
        <f>IF(#REF!&gt;0,1,0)</f>
        <v>#REF!</v>
      </c>
      <c r="W45" s="37"/>
      <c r="X45" s="57">
        <v>8</v>
      </c>
      <c r="Y45" s="73" t="s">
        <v>96</v>
      </c>
    </row>
    <row r="46" spans="1:25" ht="16.5" x14ac:dyDescent="0.35">
      <c r="B46" s="324" t="s">
        <v>59</v>
      </c>
      <c r="C46" s="325"/>
      <c r="D46" s="325"/>
      <c r="E46" s="325"/>
      <c r="F46" s="326"/>
      <c r="G46" s="108"/>
      <c r="H46" s="107"/>
      <c r="I46" s="106"/>
      <c r="J46" s="101" t="str">
        <f>IF(ISERROR(SUM(H66)/SUM(H57)), "0.00", SUM(H66)/SUM(H57))</f>
        <v>0.00</v>
      </c>
      <c r="K46" s="104" t="s">
        <v>116</v>
      </c>
      <c r="L46" s="99"/>
      <c r="M46" s="87"/>
      <c r="Q46" s="74"/>
      <c r="R46" s="75"/>
      <c r="S46" s="75"/>
      <c r="T46" s="75"/>
      <c r="U46" s="75"/>
      <c r="V46" s="75"/>
      <c r="W46" s="75"/>
      <c r="X46" s="76">
        <v>9</v>
      </c>
      <c r="Y46" s="77" t="s">
        <v>96</v>
      </c>
    </row>
    <row r="47" spans="1:25" ht="16.5" x14ac:dyDescent="0.35">
      <c r="B47" s="324" t="s">
        <v>62</v>
      </c>
      <c r="C47" s="325"/>
      <c r="D47" s="325"/>
      <c r="E47" s="325"/>
      <c r="F47" s="326"/>
      <c r="G47" s="108"/>
      <c r="H47" s="107"/>
      <c r="I47" s="106"/>
      <c r="J47" s="101" t="str">
        <f>IF(ISERROR((SUMIF(H71,"&gt;0")+SUMIF(H71,"&lt;0"))*100/SUM(H69)),"0.00",(SUMIF(H71,"&gt;0")+SUMIF(H71,"&lt;0"))*100/SUM(H69))</f>
        <v>0.00</v>
      </c>
      <c r="K47" s="102" t="s">
        <v>117</v>
      </c>
      <c r="L47" s="99"/>
      <c r="M47" s="87"/>
    </row>
    <row r="48" spans="1:25" ht="16.5" x14ac:dyDescent="0.35">
      <c r="B48" s="324" t="s">
        <v>64</v>
      </c>
      <c r="C48" s="325"/>
      <c r="D48" s="325"/>
      <c r="E48" s="325"/>
      <c r="F48" s="326"/>
      <c r="G48" s="108" t="s">
        <v>47</v>
      </c>
      <c r="H48" s="109"/>
      <c r="I48" s="106"/>
      <c r="J48" s="101">
        <f t="shared" ref="J48:J54" si="0">H61</f>
        <v>0</v>
      </c>
      <c r="K48" s="102" t="s">
        <v>113</v>
      </c>
      <c r="L48" s="99"/>
      <c r="M48" s="87"/>
      <c r="Q48" s="62"/>
      <c r="R48" s="78" t="s">
        <v>44</v>
      </c>
      <c r="S48" s="63"/>
      <c r="T48" s="63"/>
      <c r="U48" s="63"/>
      <c r="V48" s="63"/>
      <c r="W48" s="63"/>
      <c r="X48" s="63"/>
      <c r="Y48" s="64" t="s">
        <v>71</v>
      </c>
    </row>
    <row r="49" spans="2:25" ht="16.5" x14ac:dyDescent="0.35">
      <c r="B49" s="324" t="s">
        <v>68</v>
      </c>
      <c r="C49" s="331"/>
      <c r="D49" s="331"/>
      <c r="E49" s="331"/>
      <c r="F49" s="332"/>
      <c r="G49" s="108" t="s">
        <v>47</v>
      </c>
      <c r="H49" s="109"/>
      <c r="I49" s="106"/>
      <c r="J49" s="101">
        <f t="shared" si="0"/>
        <v>0</v>
      </c>
      <c r="K49" s="102" t="s">
        <v>114</v>
      </c>
      <c r="L49" s="105" t="str">
        <f>IF(('Facility input'!$D$6)&lt;2012,Calculations!B38,"")</f>
        <v>&lt;===== Please ignore this entry</v>
      </c>
      <c r="M49" s="113"/>
      <c r="Q49" s="65"/>
      <c r="R49" s="37"/>
      <c r="S49" s="37"/>
      <c r="T49" s="37"/>
      <c r="U49" s="37"/>
      <c r="V49" s="37"/>
      <c r="W49" s="37"/>
      <c r="X49" s="37"/>
      <c r="Y49" s="66" t="s">
        <v>92</v>
      </c>
    </row>
    <row r="50" spans="2:25" ht="16.5" x14ac:dyDescent="0.35">
      <c r="B50" s="324" t="s">
        <v>65</v>
      </c>
      <c r="C50" s="325"/>
      <c r="D50" s="325"/>
      <c r="E50" s="325"/>
      <c r="F50" s="326"/>
      <c r="G50" s="108" t="s">
        <v>47</v>
      </c>
      <c r="H50" s="107"/>
      <c r="I50" s="106"/>
      <c r="J50" s="101">
        <f t="shared" si="0"/>
        <v>0</v>
      </c>
      <c r="K50" s="104" t="s">
        <v>195</v>
      </c>
      <c r="L50" s="100"/>
      <c r="M50" s="87"/>
      <c r="Q50" s="65"/>
      <c r="R50" s="37"/>
      <c r="S50" s="37"/>
      <c r="T50" s="37"/>
      <c r="U50" s="37"/>
      <c r="V50" s="37"/>
      <c r="W50" s="37"/>
      <c r="X50" s="37"/>
      <c r="Y50" s="67"/>
    </row>
    <row r="51" spans="2:25" ht="16.5" x14ac:dyDescent="0.35">
      <c r="B51" s="324" t="s">
        <v>66</v>
      </c>
      <c r="C51" s="325"/>
      <c r="D51" s="325"/>
      <c r="E51" s="325"/>
      <c r="F51" s="326"/>
      <c r="G51" s="108" t="s">
        <v>47</v>
      </c>
      <c r="H51" s="107"/>
      <c r="I51" s="106"/>
      <c r="J51" s="101">
        <f t="shared" si="0"/>
        <v>0</v>
      </c>
      <c r="K51" s="104" t="s">
        <v>196</v>
      </c>
      <c r="L51" s="100"/>
      <c r="M51" s="87"/>
      <c r="Q51" s="65"/>
      <c r="R51" s="68"/>
      <c r="S51" s="68"/>
      <c r="T51" s="37"/>
      <c r="U51" s="37"/>
      <c r="V51" s="37"/>
      <c r="W51" s="37"/>
      <c r="X51" s="37"/>
      <c r="Y51" s="67"/>
    </row>
    <row r="52" spans="2:25" ht="16.5" x14ac:dyDescent="0.35">
      <c r="B52" s="324" t="s">
        <v>60</v>
      </c>
      <c r="C52" s="325"/>
      <c r="D52" s="325"/>
      <c r="E52" s="325"/>
      <c r="F52" s="326"/>
      <c r="G52" s="108" t="s">
        <v>48</v>
      </c>
      <c r="H52" s="107"/>
      <c r="I52" s="106"/>
      <c r="J52" s="101">
        <f t="shared" si="0"/>
        <v>0</v>
      </c>
      <c r="K52" s="104" t="s">
        <v>197</v>
      </c>
      <c r="L52" s="100"/>
      <c r="M52" s="87"/>
      <c r="Q52" s="69" t="s">
        <v>90</v>
      </c>
      <c r="R52" s="58" t="b">
        <f>ISTEXT(#REF!)</f>
        <v>0</v>
      </c>
      <c r="S52" s="37"/>
      <c r="T52" s="55" t="e">
        <f>IF(V52=1,SUM(T53:T60),"")</f>
        <v>#REF!</v>
      </c>
      <c r="U52" s="52"/>
      <c r="V52" s="59" t="e">
        <f>SUM(V53:V60)</f>
        <v>#REF!</v>
      </c>
      <c r="W52" s="37"/>
      <c r="X52" s="57">
        <v>0</v>
      </c>
      <c r="Y52" s="70" t="s">
        <v>36</v>
      </c>
    </row>
    <row r="53" spans="2:25" ht="16.5" x14ac:dyDescent="0.35">
      <c r="B53" s="324" t="s">
        <v>67</v>
      </c>
      <c r="C53" s="325"/>
      <c r="D53" s="325"/>
      <c r="E53" s="325"/>
      <c r="F53" s="326"/>
      <c r="G53" s="108" t="s">
        <v>47</v>
      </c>
      <c r="H53" s="107"/>
      <c r="I53" s="106"/>
      <c r="J53" s="101">
        <f t="shared" si="0"/>
        <v>0</v>
      </c>
      <c r="K53" s="104" t="s">
        <v>115</v>
      </c>
      <c r="L53" s="100"/>
      <c r="M53" s="87"/>
      <c r="Q53" s="71" t="s">
        <v>91</v>
      </c>
      <c r="R53" s="58" t="b">
        <f>ISTEXT(#REF!)</f>
        <v>0</v>
      </c>
      <c r="S53" s="37"/>
      <c r="T53" s="54" t="e">
        <f>IF(#REF!=SUM(#REF!),Calculations!N4,0)</f>
        <v>#REF!</v>
      </c>
      <c r="U53" s="53">
        <f>IF(ISTEXT(#REF!),0,1)</f>
        <v>1</v>
      </c>
      <c r="V53" s="60" t="e">
        <f>IF(#REF!&gt;0,1,0)</f>
        <v>#REF!</v>
      </c>
      <c r="W53" s="37"/>
      <c r="X53" s="57">
        <v>1</v>
      </c>
      <c r="Y53" s="72" t="e">
        <f>CONCATENATE("&lt;==== Input default (",T52,") or another value or select from drop-down list")</f>
        <v>#REF!</v>
      </c>
    </row>
    <row r="54" spans="2:25" ht="15" thickBot="1" x14ac:dyDescent="0.4">
      <c r="B54" s="328" t="s">
        <v>61</v>
      </c>
      <c r="C54" s="329"/>
      <c r="D54" s="329"/>
      <c r="E54" s="329"/>
      <c r="F54" s="330"/>
      <c r="G54" s="110" t="s">
        <v>47</v>
      </c>
      <c r="H54" s="112"/>
      <c r="I54" s="111"/>
      <c r="J54" s="101">
        <f t="shared" si="0"/>
        <v>0</v>
      </c>
      <c r="K54" s="104" t="s">
        <v>105</v>
      </c>
      <c r="L54" s="100"/>
      <c r="M54" s="87"/>
      <c r="Q54" s="65"/>
      <c r="R54" s="37"/>
      <c r="S54" s="37"/>
      <c r="T54" s="54" t="e">
        <f>IF(#REF!=SUM(#REF!),Calculations!N5,0)</f>
        <v>#REF!</v>
      </c>
      <c r="U54" s="53">
        <f>IF(ISTEXT(#REF!),0,1)</f>
        <v>1</v>
      </c>
      <c r="V54" s="60" t="e">
        <f>IF(#REF!&gt;0,1,0)</f>
        <v>#REF!</v>
      </c>
      <c r="W54" s="37"/>
      <c r="X54" s="57">
        <v>2</v>
      </c>
      <c r="Y54" s="73" t="s">
        <v>96</v>
      </c>
    </row>
    <row r="55" spans="2:25" ht="14.5" x14ac:dyDescent="0.35">
      <c r="B55" s="87"/>
      <c r="C55" s="87"/>
      <c r="D55" s="87"/>
      <c r="E55" s="87"/>
      <c r="F55" s="87"/>
      <c r="G55" s="87"/>
      <c r="H55" s="87"/>
      <c r="I55" s="87"/>
      <c r="J55" s="88"/>
      <c r="K55" s="89"/>
      <c r="L55" s="87"/>
      <c r="M55" s="90"/>
      <c r="Q55" s="65"/>
      <c r="R55" s="37"/>
      <c r="S55" s="37"/>
      <c r="T55" s="54" t="e">
        <f>IF(#REF!=SUM(#REF!),Calculations!N6,0)</f>
        <v>#REF!</v>
      </c>
      <c r="U55" s="53">
        <f>IF(ISTEXT(#REF!),0,1)</f>
        <v>1</v>
      </c>
      <c r="V55" s="60" t="e">
        <f>IF(#REF!&gt;0,1,0)</f>
        <v>#REF!</v>
      </c>
      <c r="W55" s="37"/>
      <c r="X55" s="57">
        <v>3</v>
      </c>
      <c r="Y55" s="73" t="s">
        <v>96</v>
      </c>
    </row>
    <row r="56" spans="2:25" ht="14.5" x14ac:dyDescent="0.35">
      <c r="B56" s="319" t="str">
        <f t="shared" ref="B56:B67" si="1">B43</f>
        <v>The tonnes of COD in sludge transferred off site and disposed of at landfill</v>
      </c>
      <c r="C56" s="320"/>
      <c r="D56" s="320"/>
      <c r="E56" s="320"/>
      <c r="F56" s="320"/>
      <c r="G56" s="321"/>
      <c r="H56" s="91">
        <f>'Facility input'!$D$24</f>
        <v>0</v>
      </c>
      <c r="I56" s="91"/>
      <c r="J56" s="91"/>
      <c r="K56" s="91"/>
      <c r="L56" s="87"/>
      <c r="M56" s="92"/>
      <c r="Q56" s="65"/>
      <c r="R56" s="37"/>
      <c r="S56" s="37"/>
      <c r="T56" s="54" t="e">
        <f>IF(#REF!=SUM(#REF!),Calculations!N7,0)</f>
        <v>#REF!</v>
      </c>
      <c r="U56" s="53">
        <f>IF(ISTEXT(#REF!),0,1)</f>
        <v>1</v>
      </c>
      <c r="V56" s="60" t="e">
        <f>IF(#REF!&gt;0,1,0)</f>
        <v>#REF!</v>
      </c>
      <c r="W56" s="37"/>
      <c r="X56" s="57">
        <v>4</v>
      </c>
      <c r="Y56" s="73" t="s">
        <v>96</v>
      </c>
    </row>
    <row r="57" spans="2:25" ht="14.5" x14ac:dyDescent="0.35">
      <c r="B57" s="319" t="str">
        <f t="shared" si="1"/>
        <v>The tonnes of COD measured entering treatment site</v>
      </c>
      <c r="C57" s="320"/>
      <c r="D57" s="320"/>
      <c r="E57" s="320"/>
      <c r="F57" s="320"/>
      <c r="G57" s="321"/>
      <c r="H57" s="91">
        <f>'Facility input'!$G$19</f>
        <v>0</v>
      </c>
      <c r="I57" s="91"/>
      <c r="J57" s="91"/>
      <c r="K57" s="91"/>
      <c r="L57" s="87"/>
      <c r="M57" s="92"/>
      <c r="Q57" s="65"/>
      <c r="R57" s="37"/>
      <c r="S57" s="37"/>
      <c r="T57" s="54" t="e">
        <f>IF(#REF!=SUM(#REF!),Calculations!N8,0)</f>
        <v>#REF!</v>
      </c>
      <c r="U57" s="53">
        <f>IF(ISTEXT(#REF!),0,1)</f>
        <v>1</v>
      </c>
      <c r="V57" s="60" t="e">
        <f>IF(#REF!&gt;0,1,0)</f>
        <v>#REF!</v>
      </c>
      <c r="W57" s="37"/>
      <c r="X57" s="57">
        <v>5</v>
      </c>
      <c r="Y57" s="73" t="s">
        <v>96</v>
      </c>
    </row>
    <row r="58" spans="2:25" ht="14.5" x14ac:dyDescent="0.35">
      <c r="B58" s="319" t="str">
        <f t="shared" si="1"/>
        <v>The fraction of wastewater anaerobically treated</v>
      </c>
      <c r="C58" s="320"/>
      <c r="D58" s="320"/>
      <c r="E58" s="320"/>
      <c r="F58" s="320"/>
      <c r="G58" s="321"/>
      <c r="H58" s="93" t="str">
        <f>'Facility input'!$H$29</f>
        <v>Firstly, input data (above) for at least one commodity</v>
      </c>
      <c r="I58" s="93"/>
      <c r="J58" s="93"/>
      <c r="K58" s="93"/>
      <c r="L58" s="87"/>
      <c r="M58" s="94"/>
      <c r="Q58" s="65"/>
      <c r="R58" s="37"/>
      <c r="S58" s="37"/>
      <c r="T58" s="54" t="e">
        <f>IF(#REF!=SUM(#REF!),Calculations!M9,0)</f>
        <v>#REF!</v>
      </c>
      <c r="U58" s="53">
        <f>IF(ISTEXT(#REF!),0,1)</f>
        <v>1</v>
      </c>
      <c r="V58" s="61" t="e">
        <f>IF(#REF!&gt;0,1,0)</f>
        <v>#REF!</v>
      </c>
      <c r="W58" s="37"/>
      <c r="X58" s="57">
        <v>6</v>
      </c>
      <c r="Y58" s="73" t="s">
        <v>96</v>
      </c>
    </row>
    <row r="59" spans="2:25" ht="14.5" x14ac:dyDescent="0.35">
      <c r="B59" s="319" t="str">
        <f t="shared" si="1"/>
        <v>The fraction of COD removed as sludge</v>
      </c>
      <c r="C59" s="320"/>
      <c r="D59" s="320"/>
      <c r="E59" s="320"/>
      <c r="F59" s="320"/>
      <c r="G59" s="321"/>
      <c r="H59" s="91">
        <f>'Facility input'!$D$21</f>
        <v>0</v>
      </c>
      <c r="I59" s="91"/>
      <c r="J59" s="91"/>
      <c r="K59" s="91"/>
      <c r="L59" s="87"/>
      <c r="M59" s="94"/>
      <c r="Q59" s="65"/>
      <c r="R59" s="37"/>
      <c r="S59" s="37"/>
      <c r="T59" s="54" t="e">
        <f>IF(#REF!=SUM(#REF!),Calculations!N10,0)</f>
        <v>#REF!</v>
      </c>
      <c r="U59" s="53">
        <f>IF(ISTEXT(#REF!),0,1)</f>
        <v>1</v>
      </c>
      <c r="V59" s="61" t="e">
        <f>IF(#REF!&gt;0,1,0)</f>
        <v>#REF!</v>
      </c>
      <c r="W59" s="37"/>
      <c r="X59" s="57">
        <v>7</v>
      </c>
      <c r="Y59" s="73" t="s">
        <v>96</v>
      </c>
    </row>
    <row r="60" spans="2:25" ht="14.5" x14ac:dyDescent="0.35">
      <c r="B60" s="319" t="str">
        <f t="shared" si="1"/>
        <v>The fraction of COD in sludge anaerobically treated on site</v>
      </c>
      <c r="C60" s="320"/>
      <c r="D60" s="320"/>
      <c r="E60" s="320"/>
      <c r="F60" s="320"/>
      <c r="G60" s="321"/>
      <c r="H60" s="93" t="str">
        <f>'Facility input'!$H$30</f>
        <v>Firstly, input data (above) for at least one commodity</v>
      </c>
      <c r="I60" s="93"/>
      <c r="J60" s="93"/>
      <c r="K60" s="93"/>
      <c r="L60" s="87"/>
      <c r="M60" s="94"/>
      <c r="Q60" s="65"/>
      <c r="R60" s="37"/>
      <c r="S60" s="37"/>
      <c r="T60" s="54" t="e">
        <f>IF(#REF!=SUM(#REF!),Calculations!M11,0)</f>
        <v>#REF!</v>
      </c>
      <c r="U60" s="53">
        <f>IF(ISTEXT(#REF!),0,1)</f>
        <v>1</v>
      </c>
      <c r="V60" s="61" t="e">
        <f>IF(#REF!&gt;0,1,0)</f>
        <v>#REF!</v>
      </c>
      <c r="W60" s="37"/>
      <c r="X60" s="57">
        <v>8</v>
      </c>
      <c r="Y60" s="73" t="s">
        <v>96</v>
      </c>
    </row>
    <row r="61" spans="2:25" ht="14.5" x14ac:dyDescent="0.35">
      <c r="B61" s="319" t="str">
        <f t="shared" si="1"/>
        <v>The tonnes of COD in sludge transferred off site and disposed of at a site other than landfill</v>
      </c>
      <c r="C61" s="320"/>
      <c r="D61" s="320"/>
      <c r="E61" s="320"/>
      <c r="F61" s="320"/>
      <c r="G61" s="321"/>
      <c r="H61" s="95">
        <f>'Facility input'!$D$25</f>
        <v>0</v>
      </c>
      <c r="I61" s="95"/>
      <c r="J61" s="95"/>
      <c r="K61" s="95"/>
      <c r="L61" s="87"/>
      <c r="M61" s="96"/>
      <c r="Q61" s="74"/>
      <c r="R61" s="75"/>
      <c r="S61" s="75"/>
      <c r="T61" s="75"/>
      <c r="U61" s="75"/>
      <c r="V61" s="75"/>
      <c r="W61" s="75"/>
      <c r="X61" s="76">
        <v>9</v>
      </c>
      <c r="Y61" s="77" t="s">
        <v>96</v>
      </c>
    </row>
    <row r="62" spans="2:25" ht="14.5" x14ac:dyDescent="0.35">
      <c r="B62" s="319" t="str">
        <f t="shared" si="1"/>
        <v>Tonnes of COD in effluent leaving the site</v>
      </c>
      <c r="C62" s="320"/>
      <c r="D62" s="320"/>
      <c r="E62" s="320"/>
      <c r="F62" s="320"/>
      <c r="G62" s="321"/>
      <c r="H62" s="95">
        <f>'Facility input'!$D$23</f>
        <v>0</v>
      </c>
      <c r="I62" s="95"/>
      <c r="J62" s="95"/>
      <c r="K62" s="95"/>
      <c r="L62" s="87"/>
      <c r="M62" s="113"/>
    </row>
    <row r="63" spans="2:25" ht="14.5" x14ac:dyDescent="0.35">
      <c r="B63" s="319" t="str">
        <f t="shared" si="1"/>
        <v>The tonnes of methane (CO2-e) captured for production of electricity on site</v>
      </c>
      <c r="C63" s="320"/>
      <c r="D63" s="320"/>
      <c r="E63" s="320"/>
      <c r="F63" s="320"/>
      <c r="G63" s="321"/>
      <c r="H63" s="91">
        <f>'Facility input'!$D$26*0.0006784*28</f>
        <v>0</v>
      </c>
      <c r="I63" s="91"/>
      <c r="J63" s="91"/>
      <c r="K63" s="91"/>
      <c r="L63" s="87"/>
      <c r="M63" s="92"/>
    </row>
    <row r="64" spans="2:25" ht="14.5" x14ac:dyDescent="0.35">
      <c r="B64" s="319" t="str">
        <f t="shared" si="1"/>
        <v>The tonnes of methane (CO2-e) captured and transferred off site</v>
      </c>
      <c r="C64" s="320"/>
      <c r="D64" s="320"/>
      <c r="E64" s="320"/>
      <c r="F64" s="320"/>
      <c r="G64" s="321"/>
      <c r="H64" s="91">
        <f>'Facility input'!$D$28*0.0006784*28</f>
        <v>0</v>
      </c>
      <c r="I64" s="91"/>
      <c r="J64" s="91"/>
      <c r="K64" s="91"/>
      <c r="L64" s="87"/>
      <c r="M64" s="92"/>
    </row>
    <row r="65" spans="2:13" ht="14.5" x14ac:dyDescent="0.35">
      <c r="B65" s="319" t="str">
        <f t="shared" si="1"/>
        <v>The tonnes of methane (CO2-e) flared</v>
      </c>
      <c r="C65" s="320"/>
      <c r="D65" s="320"/>
      <c r="E65" s="320"/>
      <c r="F65" s="320"/>
      <c r="G65" s="321"/>
      <c r="H65" s="91">
        <f>'Facility input'!$D$27*0.0006784*28</f>
        <v>0</v>
      </c>
      <c r="I65" s="91"/>
      <c r="J65" s="91"/>
      <c r="K65" s="91"/>
      <c r="L65" s="87"/>
      <c r="M65" s="92"/>
    </row>
    <row r="66" spans="2:13" ht="14.5" x14ac:dyDescent="0.35">
      <c r="B66" s="319" t="str">
        <f t="shared" si="1"/>
        <v>The tonnes of COD removed as sludge</v>
      </c>
      <c r="C66" s="320"/>
      <c r="D66" s="320"/>
      <c r="E66" s="320"/>
      <c r="F66" s="320"/>
      <c r="G66" s="321"/>
      <c r="H66" s="95">
        <f>'Facility input'!$D$22</f>
        <v>0</v>
      </c>
      <c r="I66" s="95"/>
      <c r="J66" s="95"/>
      <c r="K66" s="95"/>
      <c r="L66" s="87"/>
      <c r="M66" s="96"/>
    </row>
    <row r="67" spans="2:13" ht="14.5" x14ac:dyDescent="0.35">
      <c r="B67" s="319" t="str">
        <f t="shared" si="1"/>
        <v>The tonnes of emissions (CO2-e) generated</v>
      </c>
      <c r="C67" s="320"/>
      <c r="D67" s="320"/>
      <c r="E67" s="320"/>
      <c r="F67" s="320"/>
      <c r="G67" s="321"/>
      <c r="H67" s="95">
        <f>'Facility input'!$D$46</f>
        <v>0</v>
      </c>
      <c r="I67" s="95"/>
      <c r="J67" s="95"/>
      <c r="K67" s="95"/>
      <c r="L67" s="87"/>
      <c r="M67" s="96"/>
    </row>
    <row r="68" spans="2:13" ht="14.5" x14ac:dyDescent="0.35">
      <c r="B68" s="322" t="s">
        <v>54</v>
      </c>
      <c r="C68" s="323"/>
      <c r="D68" s="323"/>
      <c r="E68" s="323"/>
      <c r="F68" s="323"/>
      <c r="G68" s="323"/>
      <c r="H68" s="95">
        <f>'Facility input'!G19-'Facility input'!D22</f>
        <v>0</v>
      </c>
      <c r="I68" s="95"/>
      <c r="J68" s="95"/>
      <c r="K68" s="95"/>
      <c r="L68" s="87"/>
      <c r="M68" s="96"/>
    </row>
    <row r="69" spans="2:13" ht="14.5" x14ac:dyDescent="0.35">
      <c r="B69" s="317" t="s">
        <v>53</v>
      </c>
      <c r="C69" s="318"/>
      <c r="D69" s="318"/>
      <c r="E69" s="318"/>
      <c r="F69" s="318"/>
      <c r="G69" s="318"/>
      <c r="H69" s="95">
        <f>'Facility input'!D22-'Facility input'!D24-'Facility input'!D25</f>
        <v>0</v>
      </c>
      <c r="I69" s="95"/>
      <c r="J69" s="95"/>
      <c r="K69" s="95"/>
      <c r="L69" s="87"/>
      <c r="M69" s="96"/>
    </row>
    <row r="70" spans="2:13" ht="14.5" x14ac:dyDescent="0.35">
      <c r="B70" s="317" t="str">
        <f>CONCATENATE(B58,"*",B68)</f>
        <v>The fraction of wastewater anaerobically treated*COD in wastewater treated (CODw-CODsl)</v>
      </c>
      <c r="C70" s="318"/>
      <c r="D70" s="318"/>
      <c r="E70" s="318"/>
      <c r="F70" s="318"/>
      <c r="G70" s="318"/>
      <c r="H70" s="97" t="e">
        <f>H58/100*H68</f>
        <v>#VALUE!</v>
      </c>
      <c r="I70" s="97"/>
      <c r="J70" s="97"/>
      <c r="K70" s="97"/>
      <c r="L70" s="87"/>
      <c r="M70" s="98"/>
    </row>
    <row r="71" spans="2:13" ht="14.5" x14ac:dyDescent="0.35">
      <c r="B71" s="317" t="str">
        <f>CONCATENATE(B60,"*",B69)</f>
        <v>The fraction of COD in sludge anaerobically treated on site*COD in sludge treated (CODsl-CODtrl-CODtro)</v>
      </c>
      <c r="C71" s="318"/>
      <c r="D71" s="318"/>
      <c r="E71" s="318"/>
      <c r="F71" s="318"/>
      <c r="G71" s="318"/>
      <c r="H71" s="97" t="e">
        <f>H60/100*H69</f>
        <v>#VALUE!</v>
      </c>
      <c r="I71" s="97"/>
      <c r="J71" s="97"/>
      <c r="K71" s="97"/>
      <c r="L71" s="87"/>
      <c r="M71" s="98"/>
    </row>
  </sheetData>
  <sheetProtection formatCells="0" formatColumns="0" formatRows="0"/>
  <mergeCells count="29">
    <mergeCell ref="B56:G56"/>
    <mergeCell ref="B44:F44"/>
    <mergeCell ref="B20:D20"/>
    <mergeCell ref="B52:F52"/>
    <mergeCell ref="B53:F53"/>
    <mergeCell ref="B54:F54"/>
    <mergeCell ref="B48:F48"/>
    <mergeCell ref="B50:F50"/>
    <mergeCell ref="B49:F49"/>
    <mergeCell ref="B43:F43"/>
    <mergeCell ref="B51:F51"/>
    <mergeCell ref="B46:F46"/>
    <mergeCell ref="B47:F47"/>
    <mergeCell ref="B45:F45"/>
    <mergeCell ref="B70:G70"/>
    <mergeCell ref="B71:G71"/>
    <mergeCell ref="B67:G67"/>
    <mergeCell ref="B57:G57"/>
    <mergeCell ref="B58:G58"/>
    <mergeCell ref="B59:G59"/>
    <mergeCell ref="B60:G60"/>
    <mergeCell ref="B61:G61"/>
    <mergeCell ref="B64:G64"/>
    <mergeCell ref="B63:G63"/>
    <mergeCell ref="B69:G69"/>
    <mergeCell ref="B65:G65"/>
    <mergeCell ref="B66:G66"/>
    <mergeCell ref="B68:G68"/>
    <mergeCell ref="B62:G62"/>
  </mergeCells>
  <hyperlinks>
    <hyperlink ref="K5" r:id="rId1" xr:uid="{00000000-0004-0000-0600-000000000000}"/>
    <hyperlink ref="K4" r:id="rId2" xr:uid="{00000000-0004-0000-0600-000001000000}"/>
    <hyperlink ref="K6" r:id="rId3" xr:uid="{00000000-0004-0000-0600-000002000000}"/>
    <hyperlink ref="K7" r:id="rId4" xr:uid="{00000000-0004-0000-0600-000003000000}"/>
    <hyperlink ref="K8" r:id="rId5" xr:uid="{00000000-0004-0000-0600-000004000000}"/>
    <hyperlink ref="K9" r:id="rId6" xr:uid="{00000000-0004-0000-0600-000005000000}"/>
    <hyperlink ref="K10" r:id="rId7" xr:uid="{00000000-0004-0000-0600-000006000000}"/>
    <hyperlink ref="K11" r:id="rId8" xr:uid="{00000000-0004-0000-0600-000007000000}"/>
  </hyperlinks>
  <pageMargins left="0.7" right="0.7" top="0.75" bottom="0.75" header="0.3" footer="0.3"/>
  <pageSetup paperSize="9" orientation="portrait" r:id="rId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FEDFF5A17EBFF408172BFDB5CA07867" ma:contentTypeVersion="10" ma:contentTypeDescription="Create a new document." ma:contentTypeScope="" ma:versionID="03814bfead9436e28a31b84b03dda2d0">
  <xsd:schema xmlns:xsd="http://www.w3.org/2001/XMLSchema" xmlns:xs="http://www.w3.org/2001/XMLSchema" xmlns:p="http://schemas.microsoft.com/office/2006/metadata/properties" xmlns:ns1="http://schemas.microsoft.com/sharepoint/v3" xmlns:ns2="32e2fb52-454c-4a55-9e7f-b565c4403fdc" xmlns:ns3="28200a5b-dbf5-4d3e-b94c-0c7a404b124e" targetNamespace="http://schemas.microsoft.com/office/2006/metadata/properties" ma:root="true" ma:fieldsID="7b8a28cbba0e079f6ebeffe7bd13215f" ns1:_="" ns2:_="" ns3:_="">
    <xsd:import namespace="http://schemas.microsoft.com/sharepoint/v3"/>
    <xsd:import namespace="32e2fb52-454c-4a55-9e7f-b565c4403fdc"/>
    <xsd:import namespace="28200a5b-dbf5-4d3e-b94c-0c7a404b124e"/>
    <xsd:element name="properties">
      <xsd:complexType>
        <xsd:sequence>
          <xsd:element name="documentManagement">
            <xsd:complexType>
              <xsd:all>
                <xsd:element ref="ns2:CER_x0020_Content_x0020_Approval_x0020_Workflow_x0020_Comments" minOccurs="0"/>
                <xsd:element ref="ns2:CERContentPublishingTaskJobNumber"/>
                <xsd:element ref="ns2:Date_x0020_Submitted" minOccurs="0"/>
                <xsd:element ref="ns2:Requires_x0020_Higher_x0020_Approval" minOccurs="0"/>
                <xsd:element ref="ns2:Submitted_x0020_By" minOccurs="0"/>
                <xsd:element ref="ns1:PublishingStartDate" minOccurs="0"/>
                <xsd:element ref="ns1:PublishingExpirationDate" minOccurs="0"/>
                <xsd:element ref="ns2:CommonTopic" minOccurs="0"/>
                <xsd:element ref="ns1:_dlc_Exempt" minOccurs="0"/>
                <xsd:element ref="ns2:Type_x0020_of_x0020_document"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3"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4"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dlc_Exempt" ma:index="16"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2e2fb52-454c-4a55-9e7f-b565c4403fdc" elementFormDefault="qualified">
    <xsd:import namespace="http://schemas.microsoft.com/office/2006/documentManagement/types"/>
    <xsd:import namespace="http://schemas.microsoft.com/office/infopath/2007/PartnerControls"/>
    <xsd:element name="CER_x0020_Content_x0020_Approval_x0020_Workflow_x0020_Comments" ma:index="8" nillable="true" ma:displayName="CER Content Approval Workflow Comments" ma:internalName="CER_x0020_Content_x0020_Approval_x0020_Workflow_x0020_Comments">
      <xsd:simpleType>
        <xsd:restriction base="dms:Text">
          <xsd:maxLength value="255"/>
        </xsd:restriction>
      </xsd:simpleType>
    </xsd:element>
    <xsd:element name="CERContentPublishingTaskJobNumber" ma:index="9" ma:displayName="CERContentPublishingTaskJobNumber" ma:default="WM####" ma:internalName="CERContentPublishingTaskJobNumber">
      <xsd:simpleType>
        <xsd:restriction base="dms:Note">
          <xsd:maxLength value="255"/>
        </xsd:restriction>
      </xsd:simpleType>
    </xsd:element>
    <xsd:element name="Date_x0020_Submitted" ma:index="10" nillable="true" ma:displayName="Date Submitted" ma:format="DateOnly" ma:internalName="Date_x0020_Submitted">
      <xsd:simpleType>
        <xsd:restriction base="dms:DateTime"/>
      </xsd:simpleType>
    </xsd:element>
    <xsd:element name="Requires_x0020_Higher_x0020_Approval" ma:index="11" nillable="true" ma:displayName="Requires Higher Approval" ma:default="0" ma:description="Requires Higher Approval" ma:internalName="Requires_x0020_Higher_x0020_Approval">
      <xsd:simpleType>
        <xsd:restriction base="dms:Boolean"/>
      </xsd:simpleType>
    </xsd:element>
    <xsd:element name="Submitted_x0020_By" ma:index="12" nillable="true" ma:displayName="Submitted By" ma:list="UserInfo" ma:SharePointGroup="0" ma:internalName="Submitted_x0020_B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monTopic" ma:index="15" nillable="true" ma:displayName="Topic" ma:internalName="CommonTopic">
      <xsd:complexType>
        <xsd:complexContent>
          <xsd:extension base="dms:MultiChoice">
            <xsd:sequence>
              <xsd:element name="Value" maxOccurs="unbounded" minOccurs="0" nillable="true">
                <xsd:simpleType>
                  <xsd:restriction base="dms:Choice">
                    <xsd:enumeration value="Carbon Farming Initiative"/>
                    <xsd:enumeration value="Carbon Pricing Mechanism"/>
                    <xsd:enumeration value="National Greenhouse and Energy Reporting"/>
                    <xsd:enumeration value="Renewable Energy Target"/>
                    <xsd:enumeration value="Emissions Reduction Fund"/>
                    <xsd:enumeration value="NGER auditors"/>
                    <xsd:enumeration value="Media"/>
                    <xsd:enumeration value="Corporate"/>
                    <xsd:enumeration value="ANREU"/>
                    <xsd:enumeration value="EERS"/>
                    <xsd:enumeration value="REC Registry"/>
                    <xsd:enumeration value="Emissions Reduction Fund - mapping file"/>
                    <xsd:enumeration value="Reports"/>
                    <xsd:enumeration value="Guarantee of Origin"/>
                  </xsd:restriction>
                </xsd:simpleType>
              </xsd:element>
            </xsd:sequence>
          </xsd:extension>
        </xsd:complexContent>
      </xsd:complexType>
    </xsd:element>
    <xsd:element name="Type_x0020_of_x0020_document" ma:index="17" nillable="true" ma:displayName="Type of document" ma:default="general" ma:format="Dropdown" ma:indexed="true" ma:internalName="Type_x0020_of_x0020_document">
      <xsd:simpleType>
        <xsd:restriction base="dms:Choice">
          <xsd:enumeration value="general"/>
          <xsd:enumeration value="ERF project mapping file"/>
          <xsd:enumeration value="consulthub - CERT consult 1 submissions"/>
          <xsd:enumeration value="consulthub - CERT consult 2 submissions"/>
          <xsd:enumeration value="consulthub - CERT consult 3 submissions"/>
        </xsd:restriction>
      </xsd:simpleType>
    </xsd:element>
  </xsd:schema>
  <xsd:schema xmlns:xsd="http://www.w3.org/2001/XMLSchema" xmlns:xs="http://www.w3.org/2001/XMLSchema" xmlns:dms="http://schemas.microsoft.com/office/2006/documentManagement/types" xmlns:pc="http://schemas.microsoft.com/office/infopath/2007/PartnerControls" targetNamespace="28200a5b-dbf5-4d3e-b94c-0c7a404b124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LongProp xmlns="" name="TaxCatchAll"><![CDATA[96;#Calculator|5e7eba19-0acb-4c9c-a73b-9f73a7804f13;#128;#National Greenhouse and Energy Reporting|4084f5de-0a75-4b76-a8d4-975c05a33040;#62;#s19 Report|1feab998-f11f-4404-8c48-14585a529edd;#4;#National|5da599d1-2782-4cbf-b980-69d0459bc285;#3;#CER|50355b21-7a8e-4219-802e-661523e8e7f6;#1;#NGER|07a08cd9-741b-40d8-adcc-773ff36916bd]]></LongProp>
</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CERContentPublishingTaskJobNumber xmlns="32e2fb52-454c-4a55-9e7f-b565c4403fdc">PJ802</CERContentPublishingTaskJobNumber>
    <Date_x0020_Submitted xmlns="32e2fb52-454c-4a55-9e7f-b565c4403fdc" xsi:nil="true"/>
    <CER_x0020_Content_x0020_Approval_x0020_Workflow_x0020_Comments xmlns="32e2fb52-454c-4a55-9e7f-b565c4403fdc" xsi:nil="true"/>
    <Type_x0020_of_x0020_document xmlns="32e2fb52-454c-4a55-9e7f-b565c4403fdc">general</Type_x0020_of_x0020_document>
    <Submitted_x0020_By xmlns="32e2fb52-454c-4a55-9e7f-b565c4403fdc">
      <UserInfo>
        <DisplayName/>
        <AccountId xsi:nil="true"/>
        <AccountType/>
      </UserInfo>
    </Submitted_x0020_By>
    <PublishingExpirationDate xmlns="http://schemas.microsoft.com/sharepoint/v3" xsi:nil="true"/>
    <CommonTopic xmlns="32e2fb52-454c-4a55-9e7f-b565c4403fdc">
      <Value>National Greenhouse and Energy Reporting</Value>
    </CommonTopic>
    <Requires_x0020_Higher_x0020_Approval xmlns="32e2fb52-454c-4a55-9e7f-b565c4403fdc">false</Requires_x0020_Higher_x0020_Approval>
    <PublishingStartDate xmlns="http://schemas.microsoft.com/sharepoint/v3" xsi:nil="true"/>
  </documentManagement>
</p:properties>
</file>

<file path=customXml/item5.xml><?xml version="1.0" encoding="utf-8"?>
<?mso-contentType ?>
<p:Policy xmlns:p="office.server.policy" id="" local="true">
  <p:Name>Document</p:Name>
  <p:Description/>
  <p:Statement/>
  <p:PolicyItems>
    <p:PolicyItem featureId="Microsoft.Office.RecordsManagement.PolicyFeatures.PolicyAudit" staticId="0x0101006FEDFF5A17EBFF408172BFDB5CA07867|937198175" UniqueId="4978652a-571d-4abe-8789-326422c0f180">
      <p:Name>Auditing</p:Name>
      <p:Description>Audits user actions on documents and list items to the Audit Log.</p:Description>
      <p:CustomData>
        <Audit>
          <View/>
        </Audit>
      </p:CustomData>
    </p:PolicyItem>
  </p:PolicyItems>
</p:Policy>
</file>

<file path=customXml/itemProps1.xml><?xml version="1.0" encoding="utf-8"?>
<ds:datastoreItem xmlns:ds="http://schemas.openxmlformats.org/officeDocument/2006/customXml" ds:itemID="{50BB4D1D-F95E-4D11-9DF2-233B6FC899A2}"/>
</file>

<file path=customXml/itemProps2.xml><?xml version="1.0" encoding="utf-8"?>
<ds:datastoreItem xmlns:ds="http://schemas.openxmlformats.org/officeDocument/2006/customXml" ds:itemID="{AAF4D5F4-A282-476A-9930-C70DA3F951EF}">
  <ds:schemaRefs>
    <ds:schemaRef ds:uri="http://schemas.microsoft.com/office/2006/metadata/longProperties"/>
    <ds:schemaRef ds:uri=""/>
  </ds:schemaRefs>
</ds:datastoreItem>
</file>

<file path=customXml/itemProps3.xml><?xml version="1.0" encoding="utf-8"?>
<ds:datastoreItem xmlns:ds="http://schemas.openxmlformats.org/officeDocument/2006/customXml" ds:itemID="{F1132BE1-C77E-4612-B8E1-B66AABD99C4E}">
  <ds:schemaRefs>
    <ds:schemaRef ds:uri="http://schemas.microsoft.com/sharepoint/v3/contenttype/forms"/>
  </ds:schemaRefs>
</ds:datastoreItem>
</file>

<file path=customXml/itemProps4.xml><?xml version="1.0" encoding="utf-8"?>
<ds:datastoreItem xmlns:ds="http://schemas.openxmlformats.org/officeDocument/2006/customXml" ds:itemID="{048CCFC6-D186-45BA-8C3A-68AB8018F790}">
  <ds:schemaRefs>
    <ds:schemaRef ds:uri="http://schemas.microsoft.com/office/2006/documentManagement/types"/>
    <ds:schemaRef ds:uri="http://purl.org/dc/elements/1.1/"/>
    <ds:schemaRef ds:uri="http://schemas.openxmlformats.org/package/2006/metadata/core-properties"/>
    <ds:schemaRef ds:uri="http://purl.org/dc/terms/"/>
    <ds:schemaRef ds:uri="http://schemas.microsoft.com/office/infopath/2007/PartnerControls"/>
    <ds:schemaRef ds:uri="http://www.w3.org/XML/1998/namespace"/>
    <ds:schemaRef ds:uri="http://purl.org/dc/dcmitype/"/>
    <ds:schemaRef ds:uri="25B655BD-2105-4A9F-B164-4C307FE60B41"/>
    <ds:schemaRef ds:uri="25b655bd-2105-4a9f-b164-4c307fe60b41"/>
    <ds:schemaRef ds:uri="9b9774ee-74e4-482e-a21e-81c9c121ac5b"/>
    <ds:schemaRef ds:uri="http://schemas.microsoft.com/office/2006/metadata/properties"/>
  </ds:schemaRefs>
</ds:datastoreItem>
</file>

<file path=customXml/itemProps5.xml><?xml version="1.0" encoding="utf-8"?>
<ds:datastoreItem xmlns:ds="http://schemas.openxmlformats.org/officeDocument/2006/customXml" ds:itemID="{15616B49-DBE1-4CD5-A89C-010069E191F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Important information</vt:lpstr>
      <vt:lpstr>Menu</vt:lpstr>
      <vt:lpstr>Facility input</vt:lpstr>
      <vt:lpstr>EERS data entry method 1</vt:lpstr>
      <vt:lpstr>EERS data entry methods 2 3</vt:lpstr>
      <vt:lpstr>About</vt:lpstr>
      <vt:lpstr>Calculations</vt:lpstr>
      <vt:lpstr>InpReq</vt:lpstr>
      <vt:lpstr>IPCC_default_treatment_types</vt:lpstr>
      <vt:lpstr>'Facility input'!OLE_LINK13</vt:lpstr>
      <vt:lpstr>PlseDel</vt:lpstr>
      <vt:lpstr>'EERS data entry method 1'!Print_Area</vt:lpstr>
      <vt:lpstr>'EERS data entry methods 2 3'!Print_Area</vt:lpstr>
      <vt:lpstr>'Facility input'!Print_Area</vt:lpstr>
      <vt:lpstr>'Important information'!Print_Area</vt:lpstr>
      <vt:lpstr>Seldrop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NGER Wastewater Industrial Calculator 2020-21</dc:title>
  <dc:creator/>
  <cp:lastModifiedBy/>
  <dcterms:created xsi:type="dcterms:W3CDTF">2013-09-06T02:55:44Z</dcterms:created>
  <dcterms:modified xsi:type="dcterms:W3CDTF">2021-07-14T03:38:50Z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Area">
    <vt:lpwstr/>
  </property>
  <property fmtid="{D5CDD505-2E9C-101B-9397-08002B2CF9AE}" pid="3" name="AssetType">
    <vt:lpwstr/>
  </property>
  <property fmtid="{D5CDD505-2E9C-101B-9397-08002B2CF9AE}" pid="4" name="la5e695ffd1a44dabe62a18d82215b07">
    <vt:lpwstr/>
  </property>
  <property fmtid="{D5CDD505-2E9C-101B-9397-08002B2CF9AE}" pid="5" name="DCCKeywords">
    <vt:lpwstr/>
  </property>
  <property fmtid="{D5CDD505-2E9C-101B-9397-08002B2CF9AE}" pid="6" name="Summary">
    <vt:lpwstr/>
  </property>
  <property fmtid="{D5CDD505-2E9C-101B-9397-08002B2CF9AE}" pid="7" name="TaxCatchAll">
    <vt:lpwstr>96;#Calculator|5e7eba19-0acb-4c9c-a73b-9f73a7804f13;#128;#National Greenhouse and Energy Reporting|4084f5de-0a75-4b76-a8d4-975c05a33040;#62;#s19 Report|1feab998-f11f-4404-8c48-14585a529edd;#4;#National|5da599d1-2782-4cbf-b980-69d0459bc285;#3;#CER|50355b21</vt:lpwstr>
  </property>
  <property fmtid="{D5CDD505-2E9C-101B-9397-08002B2CF9AE}" pid="8" name="jfdbf192cf3e432bae7ead6b01437832">
    <vt:lpwstr>s19 Report|1feab998-f11f-4404-8c48-14585a529edd;National Greenhouse and Energy Reporting|4084f5de-0a75-4b76-a8d4-975c05a33040;Calculator|5e7eba19-0acb-4c9c-a73b-9f73a7804f13</vt:lpwstr>
  </property>
  <property fmtid="{D5CDD505-2E9C-101B-9397-08002B2CF9AE}" pid="9" name="FileKeywords">
    <vt:lpwstr>128;#National Greenhouse and Energy Reporting|4084f5de-0a75-4b76-a8d4-975c05a33040;#223;#Waste|cefbedea-55b0-4776-bc5d-5785f907583b;#96;#Calculator|5e7eba19-0acb-4c9c-a73b-9f73a7804f13</vt:lpwstr>
  </property>
  <property fmtid="{D5CDD505-2E9C-101B-9397-08002B2CF9AE}" pid="10" name="g1c5c8a5ed744825af876dc81dccc5dd">
    <vt:lpwstr>National|5da599d1-2782-4cbf-b980-69d0459bc285</vt:lpwstr>
  </property>
  <property fmtid="{D5CDD505-2E9C-101B-9397-08002B2CF9AE}" pid="11" name="Year">
    <vt:lpwstr>2015</vt:lpwstr>
  </property>
  <property fmtid="{D5CDD505-2E9C-101B-9397-08002B2CF9AE}" pid="12" name="State">
    <vt:lpwstr/>
  </property>
  <property fmtid="{D5CDD505-2E9C-101B-9397-08002B2CF9AE}" pid="13" name="Reference">
    <vt:lpwstr/>
  </property>
  <property fmtid="{D5CDD505-2E9C-101B-9397-08002B2CF9AE}" pid="14" name="Client">
    <vt:lpwstr/>
  </property>
  <property fmtid="{D5CDD505-2E9C-101B-9397-08002B2CF9AE}" pid="15" name="Scheme">
    <vt:lpwstr>1;#NGER|07a08cd9-741b-40d8-adcc-773ff36916bd</vt:lpwstr>
  </property>
  <property fmtid="{D5CDD505-2E9C-101B-9397-08002B2CF9AE}" pid="16" name="FileStatus">
    <vt:lpwstr>Open</vt:lpwstr>
  </property>
  <property fmtid="{D5CDD505-2E9C-101B-9397-08002B2CF9AE}" pid="17" name="fbf5ba1606af44cc8a6bbbd47132b0ab">
    <vt:lpwstr>NGER|07a08cd9-741b-40d8-adcc-773ff36916bd</vt:lpwstr>
  </property>
  <property fmtid="{D5CDD505-2E9C-101B-9397-08002B2CF9AE}" pid="18" name="aa7cfb7b7c8a4cdc88e464a139bfbbb5">
    <vt:lpwstr/>
  </property>
  <property fmtid="{D5CDD505-2E9C-101B-9397-08002B2CF9AE}" pid="19" name="DLM">
    <vt:lpwstr>Sensitive</vt:lpwstr>
  </property>
  <property fmtid="{D5CDD505-2E9C-101B-9397-08002B2CF9AE}" pid="20" name="FileClassification">
    <vt:lpwstr>Unclassified</vt:lpwstr>
  </property>
  <property fmtid="{D5CDD505-2E9C-101B-9397-08002B2CF9AE}" pid="21" name="DocumentKeywords">
    <vt:lpwstr>62;#s19 Report|1feab998-f11f-4404-8c48-14585a529edd;#354;#National Greenhouse and Energy Reporting|01ac18fd-734b-44b8-881a-77be33d91058;#96;#Calculator|5e7eba19-0acb-4c9c-a73b-9f73a7804f13</vt:lpwstr>
  </property>
  <property fmtid="{D5CDD505-2E9C-101B-9397-08002B2CF9AE}" pid="22" name="VitalDocument">
    <vt:lpwstr>No</vt:lpwstr>
  </property>
  <property fmtid="{D5CDD505-2E9C-101B-9397-08002B2CF9AE}" pid="23" name="DocumentDescription">
    <vt:lpwstr/>
  </property>
  <property fmtid="{D5CDD505-2E9C-101B-9397-08002B2CF9AE}" pid="24" name="m580224f57af48d5998ad1d627b3f8a6">
    <vt:lpwstr>CER|50355b21-7a8e-4219-802e-661523e8e7f6</vt:lpwstr>
  </property>
  <property fmtid="{D5CDD505-2E9C-101B-9397-08002B2CF9AE}" pid="25" name="BCPDocument">
    <vt:lpwstr>No</vt:lpwstr>
  </property>
  <property fmtid="{D5CDD505-2E9C-101B-9397-08002B2CF9AE}" pid="26" name="c275726743ff40b1bd16afcbde5101e0">
    <vt:lpwstr>s19 Report|1feab998-f11f-4404-8c48-14585a529edd;National Greenhouse and Energy Reporting|4084f5de-0a75-4b76-a8d4-975c05a33040;Calculator|5e7eba19-0acb-4c9c-a73b-9f73a7804f13</vt:lpwstr>
  </property>
  <property fmtid="{D5CDD505-2E9C-101B-9397-08002B2CF9AE}" pid="27" name="Agency">
    <vt:lpwstr>3;#CER|50355b21-7a8e-4219-802e-661523e8e7f6</vt:lpwstr>
  </property>
  <property fmtid="{D5CDD505-2E9C-101B-9397-08002B2CF9AE}" pid="28" name="Month">
    <vt:lpwstr/>
  </property>
  <property fmtid="{D5CDD505-2E9C-101B-9397-08002B2CF9AE}" pid="29" name="RecordNumber">
    <vt:lpwstr/>
  </property>
  <property fmtid="{D5CDD505-2E9C-101B-9397-08002B2CF9AE}" pid="30" name="ContentTypeId">
    <vt:lpwstr>0x0101006FEDFF5A17EBFF408172BFDB5CA07867</vt:lpwstr>
  </property>
  <property fmtid="{D5CDD505-2E9C-101B-9397-08002B2CF9AE}" pid="31" name="Order">
    <vt:r8>39900</vt:r8>
  </property>
  <property fmtid="{D5CDD505-2E9C-101B-9397-08002B2CF9AE}" pid="32" name="CER_Scheme">
    <vt:lpwstr>1;#NGER|8ea157ef-41bd-483c-aa6b-a1e7fd536fcd</vt:lpwstr>
  </property>
  <property fmtid="{D5CDD505-2E9C-101B-9397-08002B2CF9AE}" pid="33" name="CER_Client">
    <vt:lpwstr/>
  </property>
  <property fmtid="{D5CDD505-2E9C-101B-9397-08002B2CF9AE}" pid="34" name="CER_State">
    <vt:lpwstr/>
  </property>
  <property fmtid="{D5CDD505-2E9C-101B-9397-08002B2CF9AE}" pid="35" name="CER_Agency">
    <vt:lpwstr>225;#CER|7c351735-8870-4994-a055-6e7c190beaa2</vt:lpwstr>
  </property>
  <property fmtid="{D5CDD505-2E9C-101B-9397-08002B2CF9AE}" pid="36" name="CER_FileKeywords">
    <vt:lpwstr>12;#National Greenhouse and Energy Reporting|159c21fe-d4d3-4a21-8cdc-77dc59bc4b7d;#292;#Waste|e9f478e6-7f28-47b9-9dda-f7c32e7d31e2;#281;#Calculator|3cd91bad-1445-4cac-82b1-0631b2434b61</vt:lpwstr>
  </property>
  <property fmtid="{D5CDD505-2E9C-101B-9397-08002B2CF9AE}" pid="37" name="EDi_DocumentKeywords">
    <vt:lpwstr/>
  </property>
  <property fmtid="{D5CDD505-2E9C-101B-9397-08002B2CF9AE}" pid="38" name="_dlc_DocIdItemGuid">
    <vt:lpwstr>5552ee4a-043c-4c00-9eba-a91934181c88</vt:lpwstr>
  </property>
  <property fmtid="{D5CDD505-2E9C-101B-9397-08002B2CF9AE}" pid="39" name="_docset_NoMedatataSyncRequired">
    <vt:lpwstr>False</vt:lpwstr>
  </property>
</Properties>
</file>