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autoCompressPictures="0"/>
  <xr:revisionPtr revIDLastSave="0" documentId="13_ncr:1_{50D04AEC-2FCD-439B-9D76-00ACD331F604}" xr6:coauthVersionLast="47" xr6:coauthVersionMax="47" xr10:uidLastSave="{00000000-0000-0000-0000-000000000000}"/>
  <workbookProtection workbookAlgorithmName="SHA-256" workbookHashValue="lGNBHxtiuEud+/tCujSC7DJeqEsdaOWNGHylmd7GISQ=" workbookSaltValue="KIXPxsCcDrUxJinLBMdnsg==" workbookSpinCount="100000" lockStructure="1"/>
  <bookViews>
    <workbookView xWindow="-108" yWindow="-108" windowWidth="30936" windowHeight="16776" tabRatio="724" xr2:uid="{00000000-000D-0000-FFFF-FFFF00000000}"/>
  </bookViews>
  <sheets>
    <sheet name="Start page" sheetId="25" r:id="rId1"/>
    <sheet name="Facility 1" sheetId="1" r:id="rId2"/>
    <sheet name="Facility 2" sheetId="33" r:id="rId3"/>
    <sheet name="Facility 3" sheetId="34" r:id="rId4"/>
    <sheet name="Facility 4" sheetId="35" r:id="rId5"/>
    <sheet name="Facility 5" sheetId="36" r:id="rId6"/>
    <sheet name="Facility 6" sheetId="37" r:id="rId7"/>
    <sheet name="Output" sheetId="12" r:id="rId8"/>
    <sheet name="Example" sheetId="13" r:id="rId9"/>
    <sheet name=" Convert &amp; Lookup" sheetId="14" r:id="rId10"/>
    <sheet name="Calculation engine" sheetId="27" state="hidden" r:id="rId11"/>
    <sheet name="About" sheetId="26" r:id="rId12"/>
  </sheets>
  <definedNames>
    <definedName name="_xlnm._FilterDatabase" localSheetId="8" hidden="1">Example!$AE$7:$AJ$7</definedName>
    <definedName name="_xlnm.Print_Area" localSheetId="8">Example!$B$6:$N$50</definedName>
    <definedName name="_xlnm.Print_Area" localSheetId="1">'Facility 1'!$B$6:$N$50</definedName>
    <definedName name="_xlnm.Print_Area" localSheetId="2">'Facility 2'!$B$6:$N$50</definedName>
    <definedName name="_xlnm.Print_Area" localSheetId="3">'Facility 3'!$B$6:$N$50</definedName>
    <definedName name="_xlnm.Print_Area" localSheetId="4">'Facility 4'!$B$6:$N$50</definedName>
    <definedName name="_xlnm.Print_Area" localSheetId="5">'Facility 5'!$B$6:$N$50</definedName>
    <definedName name="_xlnm.Print_Area" localSheetId="6">'Facility 6'!$B$6:$N$50</definedName>
    <definedName name="_xlnm.Print_Area" localSheetId="7">Output!#REF!</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3" l="1"/>
  <c r="I33" i="1"/>
  <c r="M33" i="1" s="1"/>
  <c r="I34" i="1"/>
  <c r="C11" i="14" l="1"/>
  <c r="AP12" i="13" l="1"/>
  <c r="AP13" i="13"/>
  <c r="AP14" i="13"/>
  <c r="AP15" i="13"/>
  <c r="AP16" i="13"/>
  <c r="AP17" i="13"/>
  <c r="AP18" i="13"/>
  <c r="AP19" i="13"/>
  <c r="AP11" i="13"/>
  <c r="V48" i="13"/>
  <c r="V10" i="13"/>
  <c r="V11" i="13"/>
  <c r="V12" i="13"/>
  <c r="V13" i="13"/>
  <c r="V14" i="13"/>
  <c r="V15" i="13"/>
  <c r="V9" i="13"/>
  <c r="U10" i="13"/>
  <c r="U11" i="13"/>
  <c r="U12" i="13"/>
  <c r="U13" i="13"/>
  <c r="U14" i="13"/>
  <c r="U15" i="13"/>
  <c r="U9" i="13"/>
  <c r="T10" i="13"/>
  <c r="T11" i="13"/>
  <c r="T12" i="13"/>
  <c r="T13" i="13"/>
  <c r="T14" i="13"/>
  <c r="T15" i="13"/>
  <c r="T9" i="13"/>
  <c r="S10" i="13"/>
  <c r="S11" i="13"/>
  <c r="S12" i="13"/>
  <c r="S13" i="13"/>
  <c r="S14" i="13"/>
  <c r="S15" i="13"/>
  <c r="S9" i="13"/>
  <c r="G10" i="13"/>
  <c r="G11" i="13"/>
  <c r="G12" i="13"/>
  <c r="G13" i="13"/>
  <c r="G14" i="13"/>
  <c r="G15" i="13"/>
  <c r="G9" i="13"/>
  <c r="T10" i="37"/>
  <c r="N10" i="37" s="1"/>
  <c r="T11" i="37"/>
  <c r="N11" i="37" s="1"/>
  <c r="T12" i="37"/>
  <c r="N12" i="37" s="1"/>
  <c r="T13" i="37"/>
  <c r="T14" i="37"/>
  <c r="T15" i="37"/>
  <c r="N15" i="37" s="1"/>
  <c r="S10" i="37"/>
  <c r="S11" i="37"/>
  <c r="S12" i="37"/>
  <c r="S13" i="37"/>
  <c r="S14" i="37"/>
  <c r="S15" i="37"/>
  <c r="R10" i="37"/>
  <c r="R11" i="37"/>
  <c r="R12" i="37"/>
  <c r="R13" i="37"/>
  <c r="R14" i="37"/>
  <c r="R15" i="37"/>
  <c r="Q10" i="37"/>
  <c r="Q11" i="37"/>
  <c r="Q12" i="37"/>
  <c r="Q13" i="37"/>
  <c r="Q14" i="37"/>
  <c r="Q15" i="37"/>
  <c r="T9" i="37"/>
  <c r="N9" i="37" s="1"/>
  <c r="S9" i="37"/>
  <c r="R9" i="37"/>
  <c r="Q9" i="37"/>
  <c r="G10" i="37"/>
  <c r="G11" i="37"/>
  <c r="G12" i="37"/>
  <c r="G13" i="37"/>
  <c r="G14" i="37"/>
  <c r="G15" i="37"/>
  <c r="G9" i="37"/>
  <c r="T10" i="36"/>
  <c r="T11" i="36"/>
  <c r="N11" i="36" s="1"/>
  <c r="T12" i="36"/>
  <c r="N12" i="36" s="1"/>
  <c r="T13" i="36"/>
  <c r="N13" i="36" s="1"/>
  <c r="T14" i="36"/>
  <c r="N14" i="36" s="1"/>
  <c r="T15" i="36"/>
  <c r="N15" i="36" s="1"/>
  <c r="S10" i="36"/>
  <c r="S11" i="36"/>
  <c r="S12" i="36"/>
  <c r="S13" i="36"/>
  <c r="S14" i="36"/>
  <c r="S15" i="36"/>
  <c r="R10" i="36"/>
  <c r="R11" i="36"/>
  <c r="R12" i="36"/>
  <c r="R13" i="36"/>
  <c r="R14" i="36"/>
  <c r="R15" i="36"/>
  <c r="Q10" i="36"/>
  <c r="Q11" i="36"/>
  <c r="Q12" i="36"/>
  <c r="Q13" i="36"/>
  <c r="Q14" i="36"/>
  <c r="Q15" i="36"/>
  <c r="T9" i="36"/>
  <c r="N9" i="36" s="1"/>
  <c r="S9" i="36"/>
  <c r="R9" i="36"/>
  <c r="Q9" i="36"/>
  <c r="G10" i="36"/>
  <c r="G11" i="36"/>
  <c r="G12" i="36"/>
  <c r="G13" i="36"/>
  <c r="G14" i="36"/>
  <c r="G15" i="36"/>
  <c r="G9" i="36"/>
  <c r="T10" i="35"/>
  <c r="N10" i="35" s="1"/>
  <c r="T11" i="35"/>
  <c r="N11" i="35" s="1"/>
  <c r="T12" i="35"/>
  <c r="T13" i="35"/>
  <c r="N13" i="35" s="1"/>
  <c r="T14" i="35"/>
  <c r="N14" i="35" s="1"/>
  <c r="T15" i="35"/>
  <c r="N15" i="35" s="1"/>
  <c r="S10" i="35"/>
  <c r="S11" i="35"/>
  <c r="S12" i="35"/>
  <c r="S13" i="35"/>
  <c r="S14" i="35"/>
  <c r="S15" i="35"/>
  <c r="R10" i="35"/>
  <c r="R11" i="35"/>
  <c r="R12" i="35"/>
  <c r="R13" i="35"/>
  <c r="R14" i="35"/>
  <c r="R15" i="35"/>
  <c r="Q10" i="35"/>
  <c r="Q11" i="35"/>
  <c r="Q12" i="35"/>
  <c r="Q13" i="35"/>
  <c r="Q14" i="35"/>
  <c r="Q15" i="35"/>
  <c r="T9" i="35"/>
  <c r="N9" i="35" s="1"/>
  <c r="S9" i="35"/>
  <c r="R9" i="35"/>
  <c r="Q9" i="35"/>
  <c r="G10" i="35"/>
  <c r="G11" i="35"/>
  <c r="G12" i="35"/>
  <c r="G13" i="35"/>
  <c r="G14" i="35"/>
  <c r="G15" i="35"/>
  <c r="G9" i="35"/>
  <c r="T10" i="34"/>
  <c r="N10" i="34" s="1"/>
  <c r="T11" i="34"/>
  <c r="N11" i="34" s="1"/>
  <c r="T12" i="34"/>
  <c r="T13" i="34"/>
  <c r="N13" i="34" s="1"/>
  <c r="T14" i="34"/>
  <c r="N14" i="34" s="1"/>
  <c r="T15" i="34"/>
  <c r="N15" i="34" s="1"/>
  <c r="T9" i="34"/>
  <c r="N9" i="34" s="1"/>
  <c r="S10" i="34"/>
  <c r="S11" i="34"/>
  <c r="S12" i="34"/>
  <c r="S13" i="34"/>
  <c r="S14" i="34"/>
  <c r="S15" i="34"/>
  <c r="S9" i="34"/>
  <c r="R10" i="34"/>
  <c r="R11" i="34"/>
  <c r="R12" i="34"/>
  <c r="R13" i="34"/>
  <c r="R14" i="34"/>
  <c r="R15" i="34"/>
  <c r="R9" i="34"/>
  <c r="Q10" i="34"/>
  <c r="Q11" i="34"/>
  <c r="Q12" i="34"/>
  <c r="Q13" i="34"/>
  <c r="Q14" i="34"/>
  <c r="Q15" i="34"/>
  <c r="Q9" i="34"/>
  <c r="G10" i="34"/>
  <c r="G11" i="34"/>
  <c r="G12" i="34"/>
  <c r="G13" i="34"/>
  <c r="G14" i="34"/>
  <c r="G15" i="34"/>
  <c r="G9" i="34"/>
  <c r="T40" i="33"/>
  <c r="N40" i="33" s="1"/>
  <c r="T10" i="33"/>
  <c r="N10" i="33" s="1"/>
  <c r="T11" i="33"/>
  <c r="T12" i="33"/>
  <c r="N12" i="33" s="1"/>
  <c r="T13" i="33"/>
  <c r="N13" i="33" s="1"/>
  <c r="T14" i="33"/>
  <c r="N14" i="33" s="1"/>
  <c r="T15" i="33"/>
  <c r="N15" i="33" s="1"/>
  <c r="T9" i="33"/>
  <c r="N9" i="33" s="1"/>
  <c r="S10" i="33"/>
  <c r="S11" i="33"/>
  <c r="S12" i="33"/>
  <c r="S13" i="33"/>
  <c r="S14" i="33"/>
  <c r="S15" i="33"/>
  <c r="S9" i="33"/>
  <c r="R10" i="33"/>
  <c r="R11" i="33"/>
  <c r="R12" i="33"/>
  <c r="R13" i="33"/>
  <c r="R14" i="33"/>
  <c r="R15" i="33"/>
  <c r="R9" i="33"/>
  <c r="Q10" i="33"/>
  <c r="Q11" i="33"/>
  <c r="Q12" i="33"/>
  <c r="Q13" i="33"/>
  <c r="Q14" i="33"/>
  <c r="Q15" i="33"/>
  <c r="Q9" i="33"/>
  <c r="G10" i="33"/>
  <c r="G11" i="33"/>
  <c r="G12" i="33"/>
  <c r="G13" i="33"/>
  <c r="G14" i="33"/>
  <c r="G15" i="33"/>
  <c r="G9" i="33"/>
  <c r="T48" i="1"/>
  <c r="T40" i="1"/>
  <c r="T10" i="1"/>
  <c r="T11" i="1"/>
  <c r="T12" i="1"/>
  <c r="T13" i="1"/>
  <c r="T14" i="1"/>
  <c r="T15" i="1"/>
  <c r="T9" i="1"/>
  <c r="N9" i="1" s="1"/>
  <c r="S10" i="1"/>
  <c r="S11" i="1"/>
  <c r="S12" i="1"/>
  <c r="S13" i="1"/>
  <c r="S14" i="1"/>
  <c r="S15" i="1"/>
  <c r="S9" i="1"/>
  <c r="R10" i="1"/>
  <c r="R11" i="1"/>
  <c r="R12" i="1"/>
  <c r="R13" i="1"/>
  <c r="R14" i="1"/>
  <c r="R15" i="1"/>
  <c r="R9" i="1"/>
  <c r="Q10" i="1"/>
  <c r="Q11" i="1"/>
  <c r="Q12" i="1"/>
  <c r="Q13" i="1"/>
  <c r="Q14" i="1"/>
  <c r="Q15" i="1"/>
  <c r="Q9" i="1"/>
  <c r="G10" i="1"/>
  <c r="G11" i="1"/>
  <c r="G12" i="1"/>
  <c r="G13" i="1"/>
  <c r="G14" i="1"/>
  <c r="G15" i="1"/>
  <c r="G9" i="1"/>
  <c r="N10" i="12"/>
  <c r="N9" i="12"/>
  <c r="N8" i="12"/>
  <c r="N7" i="12"/>
  <c r="N6" i="12"/>
  <c r="M57" i="37"/>
  <c r="M56" i="37"/>
  <c r="T50" i="37"/>
  <c r="N50" i="37" s="1"/>
  <c r="M50" i="37"/>
  <c r="G50" i="37"/>
  <c r="T49" i="37"/>
  <c r="N49" i="37" s="1"/>
  <c r="G49" i="37"/>
  <c r="T48" i="37"/>
  <c r="N48" i="37" s="1"/>
  <c r="M48" i="37"/>
  <c r="G48" i="37"/>
  <c r="T42" i="37"/>
  <c r="N42" i="37" s="1"/>
  <c r="M42" i="37"/>
  <c r="G42" i="37"/>
  <c r="T41" i="37"/>
  <c r="N41" i="37" s="1"/>
  <c r="G41" i="37"/>
  <c r="T40" i="37"/>
  <c r="N40" i="37" s="1"/>
  <c r="M40" i="37"/>
  <c r="G40" i="37"/>
  <c r="Q35" i="37"/>
  <c r="N34" i="37" s="1"/>
  <c r="Q34" i="37"/>
  <c r="N33" i="37" s="1"/>
  <c r="J34" i="37"/>
  <c r="I34" i="37"/>
  <c r="M34" i="37" s="1"/>
  <c r="J33" i="37"/>
  <c r="I33" i="37"/>
  <c r="M33" i="37" s="1"/>
  <c r="T27" i="37"/>
  <c r="N27" i="37" s="1"/>
  <c r="S27" i="37"/>
  <c r="R27" i="37"/>
  <c r="Q27" i="37"/>
  <c r="G27" i="37"/>
  <c r="T26" i="37"/>
  <c r="N26" i="37" s="1"/>
  <c r="S26" i="37"/>
  <c r="R26" i="37"/>
  <c r="Q26" i="37"/>
  <c r="G26" i="37"/>
  <c r="T25" i="37"/>
  <c r="N25" i="37" s="1"/>
  <c r="S25" i="37"/>
  <c r="R25" i="37"/>
  <c r="Q25" i="37"/>
  <c r="G25" i="37"/>
  <c r="T24" i="37"/>
  <c r="N24" i="37" s="1"/>
  <c r="S24" i="37"/>
  <c r="R24" i="37"/>
  <c r="Q24" i="37"/>
  <c r="G24" i="37"/>
  <c r="T23" i="37"/>
  <c r="N23" i="37" s="1"/>
  <c r="S23" i="37"/>
  <c r="R23" i="37"/>
  <c r="Q23" i="37"/>
  <c r="G23" i="37"/>
  <c r="T22" i="37"/>
  <c r="N22" i="37" s="1"/>
  <c r="S22" i="37"/>
  <c r="R22" i="37"/>
  <c r="Q22" i="37"/>
  <c r="G22" i="37"/>
  <c r="T21" i="37"/>
  <c r="N21" i="37" s="1"/>
  <c r="S21" i="37"/>
  <c r="R21" i="37"/>
  <c r="Q21" i="37"/>
  <c r="G21" i="37"/>
  <c r="N14" i="37"/>
  <c r="N13" i="37"/>
  <c r="N4" i="37"/>
  <c r="N3" i="37"/>
  <c r="M57" i="36"/>
  <c r="M56" i="36"/>
  <c r="T50" i="36"/>
  <c r="N50" i="36" s="1"/>
  <c r="M50" i="36"/>
  <c r="G50" i="36"/>
  <c r="T49" i="36"/>
  <c r="N49" i="36" s="1"/>
  <c r="G49" i="36"/>
  <c r="T48" i="36"/>
  <c r="N48" i="36" s="1"/>
  <c r="M48" i="36"/>
  <c r="G48" i="36"/>
  <c r="T42" i="36"/>
  <c r="N42" i="36" s="1"/>
  <c r="M42" i="36"/>
  <c r="G42" i="36"/>
  <c r="T41" i="36"/>
  <c r="N41" i="36" s="1"/>
  <c r="G41" i="36"/>
  <c r="T40" i="36"/>
  <c r="N40" i="36" s="1"/>
  <c r="M40" i="36"/>
  <c r="G40" i="36"/>
  <c r="Q35" i="36"/>
  <c r="N34" i="36" s="1"/>
  <c r="Q34" i="36"/>
  <c r="N33" i="36" s="1"/>
  <c r="J34" i="36"/>
  <c r="I34" i="36"/>
  <c r="M34" i="36" s="1"/>
  <c r="J33" i="36"/>
  <c r="I33" i="36"/>
  <c r="M33" i="36" s="1"/>
  <c r="T27" i="36"/>
  <c r="N27" i="36" s="1"/>
  <c r="S27" i="36"/>
  <c r="R27" i="36"/>
  <c r="Q27" i="36"/>
  <c r="G27" i="36"/>
  <c r="T26" i="36"/>
  <c r="N26" i="36" s="1"/>
  <c r="S26" i="36"/>
  <c r="R26" i="36"/>
  <c r="Q26" i="36"/>
  <c r="G26" i="36"/>
  <c r="T25" i="36"/>
  <c r="N25" i="36" s="1"/>
  <c r="S25" i="36"/>
  <c r="R25" i="36"/>
  <c r="Q25" i="36"/>
  <c r="G25" i="36"/>
  <c r="T24" i="36"/>
  <c r="N24" i="36" s="1"/>
  <c r="S24" i="36"/>
  <c r="R24" i="36"/>
  <c r="Q24" i="36"/>
  <c r="G24" i="36"/>
  <c r="T23" i="36"/>
  <c r="N23" i="36" s="1"/>
  <c r="S23" i="36"/>
  <c r="R23" i="36"/>
  <c r="Q23" i="36"/>
  <c r="G23" i="36"/>
  <c r="T22" i="36"/>
  <c r="N22" i="36" s="1"/>
  <c r="S22" i="36"/>
  <c r="R22" i="36"/>
  <c r="Q22" i="36"/>
  <c r="G22" i="36"/>
  <c r="T21" i="36"/>
  <c r="N21" i="36" s="1"/>
  <c r="S21" i="36"/>
  <c r="R21" i="36"/>
  <c r="Q21" i="36"/>
  <c r="G21" i="36"/>
  <c r="N10" i="36"/>
  <c r="N4" i="36"/>
  <c r="N3" i="36"/>
  <c r="M57" i="35"/>
  <c r="M56" i="35"/>
  <c r="T50" i="35"/>
  <c r="N50" i="35" s="1"/>
  <c r="M50" i="35"/>
  <c r="G50" i="35"/>
  <c r="T49" i="35"/>
  <c r="N49" i="35" s="1"/>
  <c r="G49" i="35"/>
  <c r="T48" i="35"/>
  <c r="N48" i="35" s="1"/>
  <c r="M48" i="35"/>
  <c r="G48" i="35"/>
  <c r="T42" i="35"/>
  <c r="N42" i="35" s="1"/>
  <c r="M42" i="35"/>
  <c r="G42" i="35"/>
  <c r="T41" i="35"/>
  <c r="N41" i="35" s="1"/>
  <c r="G41" i="35"/>
  <c r="T40" i="35"/>
  <c r="N40" i="35" s="1"/>
  <c r="M40" i="35"/>
  <c r="G40" i="35"/>
  <c r="Q35" i="35"/>
  <c r="N34" i="35" s="1"/>
  <c r="Q34" i="35"/>
  <c r="N33" i="35" s="1"/>
  <c r="J34" i="35"/>
  <c r="I34" i="35"/>
  <c r="M34" i="35" s="1"/>
  <c r="J33" i="35"/>
  <c r="I33" i="35"/>
  <c r="M33" i="35" s="1"/>
  <c r="T27" i="35"/>
  <c r="N27" i="35" s="1"/>
  <c r="S27" i="35"/>
  <c r="R27" i="35"/>
  <c r="Q27" i="35"/>
  <c r="G27" i="35"/>
  <c r="T26" i="35"/>
  <c r="N26" i="35" s="1"/>
  <c r="S26" i="35"/>
  <c r="R26" i="35"/>
  <c r="Q26" i="35"/>
  <c r="G26" i="35"/>
  <c r="T25" i="35"/>
  <c r="N25" i="35" s="1"/>
  <c r="S25" i="35"/>
  <c r="R25" i="35"/>
  <c r="Q25" i="35"/>
  <c r="G25" i="35"/>
  <c r="T24" i="35"/>
  <c r="N24" i="35" s="1"/>
  <c r="S24" i="35"/>
  <c r="R24" i="35"/>
  <c r="Q24" i="35"/>
  <c r="G24" i="35"/>
  <c r="T23" i="35"/>
  <c r="N23" i="35" s="1"/>
  <c r="S23" i="35"/>
  <c r="R23" i="35"/>
  <c r="Q23" i="35"/>
  <c r="G23" i="35"/>
  <c r="T22" i="35"/>
  <c r="N22" i="35" s="1"/>
  <c r="S22" i="35"/>
  <c r="R22" i="35"/>
  <c r="Q22" i="35"/>
  <c r="G22" i="35"/>
  <c r="T21" i="35"/>
  <c r="N21" i="35" s="1"/>
  <c r="S21" i="35"/>
  <c r="R21" i="35"/>
  <c r="Q21" i="35"/>
  <c r="G21" i="35"/>
  <c r="N12" i="35"/>
  <c r="N4" i="35"/>
  <c r="N3" i="35"/>
  <c r="M57" i="34"/>
  <c r="M56" i="34"/>
  <c r="M58" i="34" s="1"/>
  <c r="T50" i="34"/>
  <c r="N50" i="34" s="1"/>
  <c r="M50" i="34"/>
  <c r="G50" i="34"/>
  <c r="T49" i="34"/>
  <c r="N49" i="34" s="1"/>
  <c r="G49" i="34"/>
  <c r="T48" i="34"/>
  <c r="N48" i="34" s="1"/>
  <c r="M48" i="34"/>
  <c r="G48" i="34"/>
  <c r="T42" i="34"/>
  <c r="N42" i="34" s="1"/>
  <c r="M42" i="34"/>
  <c r="G42" i="34"/>
  <c r="T41" i="34"/>
  <c r="N41" i="34" s="1"/>
  <c r="G41" i="34"/>
  <c r="T40" i="34"/>
  <c r="N40" i="34" s="1"/>
  <c r="M40" i="34"/>
  <c r="G40" i="34"/>
  <c r="Q35" i="34"/>
  <c r="N34" i="34" s="1"/>
  <c r="Q34" i="34"/>
  <c r="N33" i="34" s="1"/>
  <c r="J34" i="34"/>
  <c r="I34" i="34"/>
  <c r="M34" i="34" s="1"/>
  <c r="J33" i="34"/>
  <c r="I33" i="34"/>
  <c r="M33" i="34" s="1"/>
  <c r="T27" i="34"/>
  <c r="N27" i="34" s="1"/>
  <c r="S27" i="34"/>
  <c r="R27" i="34"/>
  <c r="Q27" i="34"/>
  <c r="G27" i="34"/>
  <c r="T26" i="34"/>
  <c r="N26" i="34" s="1"/>
  <c r="S26" i="34"/>
  <c r="R26" i="34"/>
  <c r="Q26" i="34"/>
  <c r="G26" i="34"/>
  <c r="T25" i="34"/>
  <c r="N25" i="34" s="1"/>
  <c r="S25" i="34"/>
  <c r="R25" i="34"/>
  <c r="Q25" i="34"/>
  <c r="G25" i="34"/>
  <c r="T24" i="34"/>
  <c r="N24" i="34" s="1"/>
  <c r="S24" i="34"/>
  <c r="R24" i="34"/>
  <c r="Q24" i="34"/>
  <c r="G24" i="34"/>
  <c r="T23" i="34"/>
  <c r="N23" i="34" s="1"/>
  <c r="S23" i="34"/>
  <c r="R23" i="34"/>
  <c r="Q23" i="34"/>
  <c r="G23" i="34"/>
  <c r="T22" i="34"/>
  <c r="N22" i="34" s="1"/>
  <c r="S22" i="34"/>
  <c r="R22" i="34"/>
  <c r="Q22" i="34"/>
  <c r="G22" i="34"/>
  <c r="T21" i="34"/>
  <c r="N21" i="34" s="1"/>
  <c r="S21" i="34"/>
  <c r="R21" i="34"/>
  <c r="Q21" i="34"/>
  <c r="G21" i="34"/>
  <c r="N12" i="34"/>
  <c r="N4" i="34"/>
  <c r="N3" i="34"/>
  <c r="M57" i="33"/>
  <c r="M56" i="33"/>
  <c r="T50" i="33"/>
  <c r="N50" i="33" s="1"/>
  <c r="M50" i="33"/>
  <c r="G50" i="33"/>
  <c r="T49" i="33"/>
  <c r="N49" i="33" s="1"/>
  <c r="G49" i="33"/>
  <c r="T48" i="33"/>
  <c r="N48" i="33" s="1"/>
  <c r="M48" i="33"/>
  <c r="G48" i="33"/>
  <c r="T42" i="33"/>
  <c r="N42" i="33" s="1"/>
  <c r="M42" i="33"/>
  <c r="G42" i="33"/>
  <c r="T41" i="33"/>
  <c r="N41" i="33" s="1"/>
  <c r="G41" i="33"/>
  <c r="M40" i="33"/>
  <c r="G40" i="33"/>
  <c r="Q35" i="33"/>
  <c r="N34" i="33" s="1"/>
  <c r="Q34" i="33"/>
  <c r="N33" i="33" s="1"/>
  <c r="J34" i="33"/>
  <c r="I34" i="33"/>
  <c r="M34" i="33" s="1"/>
  <c r="J33" i="33"/>
  <c r="I33" i="33"/>
  <c r="M33" i="33" s="1"/>
  <c r="T27" i="33"/>
  <c r="N27" i="33" s="1"/>
  <c r="S27" i="33"/>
  <c r="R27" i="33"/>
  <c r="Q27" i="33"/>
  <c r="G27" i="33"/>
  <c r="T26" i="33"/>
  <c r="N26" i="33" s="1"/>
  <c r="S26" i="33"/>
  <c r="R26" i="33"/>
  <c r="Q26" i="33"/>
  <c r="G26" i="33"/>
  <c r="T25" i="33"/>
  <c r="N25" i="33" s="1"/>
  <c r="S25" i="33"/>
  <c r="R25" i="33"/>
  <c r="Q25" i="33"/>
  <c r="G25" i="33"/>
  <c r="T24" i="33"/>
  <c r="N24" i="33" s="1"/>
  <c r="S24" i="33"/>
  <c r="R24" i="33"/>
  <c r="Q24" i="33"/>
  <c r="G24" i="33"/>
  <c r="T23" i="33"/>
  <c r="N23" i="33" s="1"/>
  <c r="S23" i="33"/>
  <c r="R23" i="33"/>
  <c r="Q23" i="33"/>
  <c r="G23" i="33"/>
  <c r="T22" i="33"/>
  <c r="N22" i="33" s="1"/>
  <c r="S22" i="33"/>
  <c r="R22" i="33"/>
  <c r="Q22" i="33"/>
  <c r="G22" i="33"/>
  <c r="T21" i="33"/>
  <c r="N21" i="33" s="1"/>
  <c r="S21" i="33"/>
  <c r="R21" i="33"/>
  <c r="Q21" i="33"/>
  <c r="G21" i="33"/>
  <c r="N11" i="33"/>
  <c r="N4" i="33"/>
  <c r="N3" i="33"/>
  <c r="G49" i="1"/>
  <c r="G50" i="1"/>
  <c r="G48" i="1"/>
  <c r="G41" i="1"/>
  <c r="G42" i="1"/>
  <c r="G40" i="1"/>
  <c r="G22" i="1"/>
  <c r="G23" i="1"/>
  <c r="G24" i="1"/>
  <c r="G25" i="1"/>
  <c r="G26" i="1"/>
  <c r="G27" i="1"/>
  <c r="G21" i="1"/>
  <c r="T49" i="1"/>
  <c r="T50" i="1"/>
  <c r="T41" i="1"/>
  <c r="T42" i="1"/>
  <c r="Q35" i="1"/>
  <c r="N34" i="1" s="1"/>
  <c r="Q34" i="1"/>
  <c r="N33" i="1" s="1"/>
  <c r="Q22" i="1"/>
  <c r="R22" i="1"/>
  <c r="S22" i="1"/>
  <c r="T22" i="1"/>
  <c r="Q23" i="1"/>
  <c r="R23" i="1"/>
  <c r="S23" i="1"/>
  <c r="T23" i="1"/>
  <c r="Q24" i="1"/>
  <c r="R24" i="1"/>
  <c r="S24" i="1"/>
  <c r="T24" i="1"/>
  <c r="Q25" i="1"/>
  <c r="R25" i="1"/>
  <c r="S25" i="1"/>
  <c r="T25" i="1"/>
  <c r="Q26" i="1"/>
  <c r="R26" i="1"/>
  <c r="S26" i="1"/>
  <c r="T26" i="1"/>
  <c r="Q27" i="1"/>
  <c r="R27" i="1"/>
  <c r="S27" i="1"/>
  <c r="T27" i="1"/>
  <c r="T21" i="1"/>
  <c r="S21" i="1"/>
  <c r="R21" i="1"/>
  <c r="Q21" i="1"/>
  <c r="T19" i="27"/>
  <c r="T18" i="27"/>
  <c r="T17" i="27"/>
  <c r="T16" i="27"/>
  <c r="T15" i="27"/>
  <c r="T14" i="27"/>
  <c r="T13" i="27"/>
  <c r="T12" i="27"/>
  <c r="T11" i="27"/>
  <c r="M58" i="37" l="1"/>
  <c r="I9" i="1"/>
  <c r="N43" i="35"/>
  <c r="N51" i="35"/>
  <c r="D66" i="35" s="1"/>
  <c r="L66" i="35" s="1"/>
  <c r="M19" i="12" s="1"/>
  <c r="N43" i="36"/>
  <c r="J23" i="33"/>
  <c r="J27" i="34"/>
  <c r="K22" i="36"/>
  <c r="J22" i="37"/>
  <c r="J26" i="33"/>
  <c r="I21" i="34"/>
  <c r="K27" i="35"/>
  <c r="K23" i="37"/>
  <c r="J27" i="36"/>
  <c r="I22" i="35"/>
  <c r="K23" i="35"/>
  <c r="J24" i="33"/>
  <c r="K21" i="35"/>
  <c r="J24" i="37"/>
  <c r="J22" i="34"/>
  <c r="J26" i="35"/>
  <c r="K22" i="34"/>
  <c r="K22" i="33"/>
  <c r="J22" i="35"/>
  <c r="I27" i="35"/>
  <c r="K25" i="37"/>
  <c r="K10" i="36"/>
  <c r="K12" i="33"/>
  <c r="I15" i="33"/>
  <c r="K15" i="35"/>
  <c r="J11" i="36"/>
  <c r="J15" i="36"/>
  <c r="I14" i="37"/>
  <c r="I10" i="34"/>
  <c r="J14" i="35"/>
  <c r="K15" i="37"/>
  <c r="I9" i="33"/>
  <c r="K10" i="33"/>
  <c r="J13" i="33"/>
  <c r="J10" i="34"/>
  <c r="J10" i="37"/>
  <c r="K14" i="33"/>
  <c r="K11" i="37"/>
  <c r="J10" i="33"/>
  <c r="J10" i="35"/>
  <c r="J12" i="37"/>
  <c r="K9" i="34"/>
  <c r="K9" i="35"/>
  <c r="I9" i="35"/>
  <c r="J9" i="35"/>
  <c r="K15" i="34"/>
  <c r="I15" i="35"/>
  <c r="J21" i="35"/>
  <c r="K22" i="35"/>
  <c r="K25" i="35"/>
  <c r="J23" i="36"/>
  <c r="K26" i="36"/>
  <c r="K9" i="33"/>
  <c r="J12" i="34"/>
  <c r="I25" i="34"/>
  <c r="J12" i="35"/>
  <c r="J15" i="35"/>
  <c r="K14" i="36"/>
  <c r="I11" i="33"/>
  <c r="J12" i="33"/>
  <c r="I26" i="33"/>
  <c r="J11" i="34"/>
  <c r="I10" i="37"/>
  <c r="I23" i="33"/>
  <c r="I25" i="33"/>
  <c r="K11" i="34"/>
  <c r="J14" i="34"/>
  <c r="J21" i="34"/>
  <c r="I27" i="34"/>
  <c r="K11" i="35"/>
  <c r="J24" i="35"/>
  <c r="I26" i="35"/>
  <c r="J27" i="35"/>
  <c r="K12" i="36"/>
  <c r="I13" i="33"/>
  <c r="K24" i="33"/>
  <c r="K26" i="33"/>
  <c r="M58" i="33"/>
  <c r="J13" i="34"/>
  <c r="J13" i="36"/>
  <c r="I15" i="36"/>
  <c r="I21" i="36"/>
  <c r="J24" i="36"/>
  <c r="K10" i="37"/>
  <c r="I24" i="37"/>
  <c r="K26" i="34"/>
  <c r="K15" i="36"/>
  <c r="I11" i="36"/>
  <c r="K9" i="37"/>
  <c r="J11" i="33"/>
  <c r="K25" i="33"/>
  <c r="J9" i="34"/>
  <c r="K10" i="34"/>
  <c r="K27" i="34"/>
  <c r="M58" i="35"/>
  <c r="K24" i="36"/>
  <c r="K13" i="37"/>
  <c r="K21" i="37"/>
  <c r="M35" i="34"/>
  <c r="G7" i="12" s="1"/>
  <c r="M35" i="36"/>
  <c r="G9" i="12" s="1"/>
  <c r="N35" i="34"/>
  <c r="K13" i="34"/>
  <c r="I12" i="34"/>
  <c r="J15" i="34"/>
  <c r="J25" i="36"/>
  <c r="I25" i="36"/>
  <c r="N28" i="33"/>
  <c r="I21" i="33"/>
  <c r="J25" i="34"/>
  <c r="K13" i="35"/>
  <c r="I12" i="35"/>
  <c r="I27" i="37"/>
  <c r="I14" i="34"/>
  <c r="J14" i="33"/>
  <c r="J22" i="33"/>
  <c r="J27" i="33"/>
  <c r="I27" i="33"/>
  <c r="K27" i="37"/>
  <c r="K25" i="36"/>
  <c r="I13" i="37"/>
  <c r="I24" i="33"/>
  <c r="K27" i="33"/>
  <c r="K24" i="34"/>
  <c r="K25" i="34"/>
  <c r="J12" i="36"/>
  <c r="J13" i="37"/>
  <c r="K14" i="37"/>
  <c r="J25" i="37"/>
  <c r="J24" i="34"/>
  <c r="I12" i="36"/>
  <c r="I25" i="37"/>
  <c r="J15" i="33"/>
  <c r="I22" i="33"/>
  <c r="I25" i="35"/>
  <c r="I10" i="36"/>
  <c r="I22" i="36"/>
  <c r="I23" i="37"/>
  <c r="N35" i="33"/>
  <c r="K23" i="33"/>
  <c r="I13" i="35"/>
  <c r="J25" i="35"/>
  <c r="K26" i="35"/>
  <c r="J10" i="36"/>
  <c r="K11" i="36"/>
  <c r="J22" i="36"/>
  <c r="I11" i="37"/>
  <c r="J23" i="37"/>
  <c r="K24" i="37"/>
  <c r="N43" i="37"/>
  <c r="J13" i="35"/>
  <c r="N16" i="33"/>
  <c r="I12" i="33"/>
  <c r="K15" i="33"/>
  <c r="I13" i="34"/>
  <c r="I11" i="35"/>
  <c r="I23" i="35"/>
  <c r="I14" i="36"/>
  <c r="K21" i="36"/>
  <c r="I26" i="36"/>
  <c r="M58" i="36"/>
  <c r="I9" i="37"/>
  <c r="I21" i="37"/>
  <c r="K21" i="33"/>
  <c r="N43" i="33"/>
  <c r="I15" i="34"/>
  <c r="I22" i="34"/>
  <c r="J11" i="37"/>
  <c r="I10" i="33"/>
  <c r="K13" i="33"/>
  <c r="I11" i="34"/>
  <c r="K14" i="34"/>
  <c r="K21" i="34"/>
  <c r="I26" i="34"/>
  <c r="J11" i="35"/>
  <c r="K12" i="35"/>
  <c r="J23" i="35"/>
  <c r="J14" i="36"/>
  <c r="J26" i="36"/>
  <c r="N35" i="36"/>
  <c r="J9" i="37"/>
  <c r="J14" i="37"/>
  <c r="I15" i="37"/>
  <c r="J21" i="37"/>
  <c r="I14" i="33"/>
  <c r="K11" i="33"/>
  <c r="J25" i="33"/>
  <c r="I9" i="34"/>
  <c r="K12" i="34"/>
  <c r="I24" i="34"/>
  <c r="J26" i="34"/>
  <c r="I21" i="35"/>
  <c r="I24" i="36"/>
  <c r="J15" i="37"/>
  <c r="J27" i="37"/>
  <c r="N51" i="37"/>
  <c r="D66" i="37" s="1"/>
  <c r="L66" i="37" s="1"/>
  <c r="M21" i="12" s="1"/>
  <c r="N51" i="36"/>
  <c r="D66" i="36" s="1"/>
  <c r="N51" i="33"/>
  <c r="D66" i="33" s="1"/>
  <c r="J23" i="34"/>
  <c r="I23" i="34"/>
  <c r="M35" i="33"/>
  <c r="N51" i="34"/>
  <c r="D66" i="34" s="1"/>
  <c r="N35" i="35"/>
  <c r="N16" i="36"/>
  <c r="J9" i="36"/>
  <c r="K26" i="37"/>
  <c r="J26" i="37"/>
  <c r="N35" i="37"/>
  <c r="N16" i="34"/>
  <c r="N43" i="34"/>
  <c r="N28" i="35"/>
  <c r="N28" i="36"/>
  <c r="J21" i="36"/>
  <c r="N28" i="37"/>
  <c r="J9" i="33"/>
  <c r="J21" i="33"/>
  <c r="N28" i="34"/>
  <c r="I10" i="35"/>
  <c r="K10" i="35"/>
  <c r="I14" i="35"/>
  <c r="K14" i="35"/>
  <c r="I24" i="35"/>
  <c r="K24" i="35"/>
  <c r="M35" i="35"/>
  <c r="I23" i="36"/>
  <c r="K23" i="36"/>
  <c r="I27" i="36"/>
  <c r="K27" i="36"/>
  <c r="N16" i="37"/>
  <c r="M35" i="37"/>
  <c r="K23" i="34"/>
  <c r="N16" i="35"/>
  <c r="I9" i="36"/>
  <c r="K9" i="36"/>
  <c r="I13" i="36"/>
  <c r="K13" i="36"/>
  <c r="I12" i="37"/>
  <c r="K12" i="37"/>
  <c r="I22" i="37"/>
  <c r="K22" i="37"/>
  <c r="I26" i="37"/>
  <c r="N57" i="13"/>
  <c r="M57" i="13"/>
  <c r="M56" i="13"/>
  <c r="M57" i="1"/>
  <c r="M56" i="1"/>
  <c r="M8" i="12" l="1"/>
  <c r="M25" i="33"/>
  <c r="M22" i="34"/>
  <c r="M23" i="35"/>
  <c r="M27" i="35"/>
  <c r="M24" i="37"/>
  <c r="M27" i="37"/>
  <c r="M26" i="37"/>
  <c r="M27" i="33"/>
  <c r="M26" i="33"/>
  <c r="M23" i="37"/>
  <c r="M21" i="37"/>
  <c r="M26" i="36"/>
  <c r="M24" i="33"/>
  <c r="M21" i="36"/>
  <c r="M26" i="34"/>
  <c r="M24" i="36"/>
  <c r="M23" i="33"/>
  <c r="M22" i="35"/>
  <c r="M23" i="36"/>
  <c r="M21" i="35"/>
  <c r="M21" i="34"/>
  <c r="M25" i="35"/>
  <c r="M10" i="34"/>
  <c r="M11" i="35"/>
  <c r="M11" i="37"/>
  <c r="M12" i="33"/>
  <c r="M10" i="35"/>
  <c r="M12" i="36"/>
  <c r="M15" i="33"/>
  <c r="M15" i="35"/>
  <c r="M11" i="34"/>
  <c r="M9" i="33"/>
  <c r="M11" i="33"/>
  <c r="M9" i="34"/>
  <c r="M14" i="34"/>
  <c r="M13" i="35"/>
  <c r="M13" i="33"/>
  <c r="M10" i="33"/>
  <c r="M14" i="37"/>
  <c r="M12" i="34"/>
  <c r="M10" i="37"/>
  <c r="M22" i="37"/>
  <c r="M13" i="34"/>
  <c r="M27" i="34"/>
  <c r="M11" i="36"/>
  <c r="M22" i="36"/>
  <c r="M9" i="35"/>
  <c r="F74" i="35"/>
  <c r="M15" i="37"/>
  <c r="M10" i="36"/>
  <c r="M25" i="37"/>
  <c r="M13" i="37"/>
  <c r="E75" i="35"/>
  <c r="M26" i="35"/>
  <c r="M15" i="36"/>
  <c r="D63" i="34"/>
  <c r="L63" i="34" s="1"/>
  <c r="G18" i="12" s="1"/>
  <c r="D63" i="36"/>
  <c r="L63" i="36" s="1"/>
  <c r="G20" i="12" s="1"/>
  <c r="D65" i="34"/>
  <c r="L7" i="12" s="1"/>
  <c r="D65" i="33"/>
  <c r="L65" i="33" s="1"/>
  <c r="D63" i="37"/>
  <c r="L63" i="37" s="1"/>
  <c r="G21" i="12" s="1"/>
  <c r="G10" i="12"/>
  <c r="M10" i="12"/>
  <c r="M15" i="34"/>
  <c r="M14" i="36"/>
  <c r="M25" i="34"/>
  <c r="M25" i="36"/>
  <c r="M22" i="33"/>
  <c r="M12" i="35"/>
  <c r="M58" i="13"/>
  <c r="D63" i="35"/>
  <c r="L63" i="35" s="1"/>
  <c r="G19" i="12" s="1"/>
  <c r="G8" i="12"/>
  <c r="M21" i="33"/>
  <c r="M9" i="37"/>
  <c r="M24" i="35"/>
  <c r="D63" i="33"/>
  <c r="L63" i="33" s="1"/>
  <c r="G17" i="12" s="1"/>
  <c r="G6" i="12"/>
  <c r="M14" i="33"/>
  <c r="M24" i="34"/>
  <c r="E75" i="37"/>
  <c r="F74" i="37"/>
  <c r="L66" i="36"/>
  <c r="M9" i="12"/>
  <c r="L66" i="34"/>
  <c r="M18" i="12" s="1"/>
  <c r="M7" i="12"/>
  <c r="L66" i="33"/>
  <c r="M6" i="12"/>
  <c r="M12" i="37"/>
  <c r="D65" i="35"/>
  <c r="D65" i="37"/>
  <c r="M27" i="36"/>
  <c r="M14" i="35"/>
  <c r="M23" i="34"/>
  <c r="M13" i="36"/>
  <c r="M9" i="36"/>
  <c r="D65" i="36"/>
  <c r="M58" i="1"/>
  <c r="N4" i="1"/>
  <c r="N5" i="12"/>
  <c r="C27" i="14"/>
  <c r="D25" i="14"/>
  <c r="C31" i="14"/>
  <c r="C30" i="14"/>
  <c r="C29" i="14"/>
  <c r="C28" i="14"/>
  <c r="D27" i="14"/>
  <c r="D19" i="14"/>
  <c r="D11" i="14"/>
  <c r="H19" i="14"/>
  <c r="C19" i="14" s="1"/>
  <c r="M28" i="37" l="1"/>
  <c r="M28" i="35"/>
  <c r="M28" i="33"/>
  <c r="M16" i="37"/>
  <c r="M16" i="34"/>
  <c r="M16" i="33"/>
  <c r="M16" i="35"/>
  <c r="M28" i="34"/>
  <c r="M28" i="36"/>
  <c r="L65" i="34"/>
  <c r="L18" i="12" s="1"/>
  <c r="L17" i="12"/>
  <c r="F72" i="33"/>
  <c r="E73" i="33"/>
  <c r="L6" i="12"/>
  <c r="L65" i="36"/>
  <c r="L20" i="12" s="1"/>
  <c r="L9" i="12"/>
  <c r="L65" i="37"/>
  <c r="L21" i="12" s="1"/>
  <c r="L10" i="12"/>
  <c r="L65" i="35"/>
  <c r="L19" i="12" s="1"/>
  <c r="L8" i="12"/>
  <c r="E75" i="34"/>
  <c r="F74" i="34"/>
  <c r="M20" i="12"/>
  <c r="E75" i="36"/>
  <c r="F74" i="36"/>
  <c r="M17" i="12"/>
  <c r="F74" i="33"/>
  <c r="E75" i="33"/>
  <c r="M16" i="36"/>
  <c r="V50" i="13"/>
  <c r="N50" i="13" s="1"/>
  <c r="M50" i="13"/>
  <c r="G50" i="13"/>
  <c r="V49" i="13"/>
  <c r="N49" i="13" s="1"/>
  <c r="G49" i="13"/>
  <c r="N48" i="13"/>
  <c r="M48" i="13"/>
  <c r="G48" i="13"/>
  <c r="V42" i="13"/>
  <c r="N42" i="13" s="1"/>
  <c r="M42" i="13"/>
  <c r="G42" i="13"/>
  <c r="V41" i="13"/>
  <c r="N41" i="13" s="1"/>
  <c r="G41" i="13"/>
  <c r="V40" i="13"/>
  <c r="N40" i="13" s="1"/>
  <c r="M40" i="13"/>
  <c r="G40" i="13"/>
  <c r="S35" i="13"/>
  <c r="N34" i="13" s="1"/>
  <c r="S34" i="13"/>
  <c r="N33" i="13" s="1"/>
  <c r="J34" i="13"/>
  <c r="I34" i="13"/>
  <c r="M34" i="13" s="1"/>
  <c r="J33" i="13"/>
  <c r="I33" i="13"/>
  <c r="M33" i="13" s="1"/>
  <c r="V27" i="13"/>
  <c r="N27" i="13" s="1"/>
  <c r="U27" i="13"/>
  <c r="T27" i="13"/>
  <c r="S27" i="13"/>
  <c r="G27" i="13"/>
  <c r="V26" i="13"/>
  <c r="N26" i="13" s="1"/>
  <c r="U26" i="13"/>
  <c r="T26" i="13"/>
  <c r="S26" i="13"/>
  <c r="G26" i="13"/>
  <c r="V25" i="13"/>
  <c r="N25" i="13" s="1"/>
  <c r="U25" i="13"/>
  <c r="T25" i="13"/>
  <c r="S25" i="13"/>
  <c r="V24" i="13"/>
  <c r="N24" i="13" s="1"/>
  <c r="U24" i="13"/>
  <c r="T24" i="13"/>
  <c r="S24" i="13"/>
  <c r="G24" i="13"/>
  <c r="V23" i="13"/>
  <c r="N23" i="13" s="1"/>
  <c r="U23" i="13"/>
  <c r="T23" i="13"/>
  <c r="S23" i="13"/>
  <c r="G23" i="13"/>
  <c r="V22" i="13"/>
  <c r="N22" i="13" s="1"/>
  <c r="U22" i="13"/>
  <c r="T22" i="13"/>
  <c r="S22" i="13"/>
  <c r="G22" i="13"/>
  <c r="V21" i="13"/>
  <c r="N21" i="13" s="1"/>
  <c r="U21" i="13"/>
  <c r="T21" i="13"/>
  <c r="S21" i="13"/>
  <c r="G21" i="13"/>
  <c r="N15" i="13"/>
  <c r="N14" i="13"/>
  <c r="N13" i="13"/>
  <c r="N12" i="13"/>
  <c r="N11" i="13"/>
  <c r="N10" i="13"/>
  <c r="N9" i="13"/>
  <c r="N4" i="13"/>
  <c r="N3" i="13"/>
  <c r="J33" i="1"/>
  <c r="J34" i="1"/>
  <c r="D62" i="36" l="1"/>
  <c r="E9" i="12" s="1"/>
  <c r="D62" i="37"/>
  <c r="E10" i="12" s="1"/>
  <c r="D62" i="35"/>
  <c r="E8" i="12" s="1"/>
  <c r="D62" i="33"/>
  <c r="E6" i="12" s="1"/>
  <c r="D62" i="34"/>
  <c r="D64" i="34" s="1"/>
  <c r="L64" i="34" s="1"/>
  <c r="F70" i="34" s="1"/>
  <c r="K26" i="13"/>
  <c r="E73" i="34"/>
  <c r="E73" i="37"/>
  <c r="F72" i="34"/>
  <c r="E73" i="35"/>
  <c r="F72" i="37"/>
  <c r="E73" i="36"/>
  <c r="F72" i="36"/>
  <c r="I26" i="13"/>
  <c r="J15" i="13"/>
  <c r="I24" i="13"/>
  <c r="J24" i="13"/>
  <c r="F72" i="35"/>
  <c r="I23" i="13"/>
  <c r="K24" i="13"/>
  <c r="I13" i="13"/>
  <c r="K27" i="13"/>
  <c r="J13" i="13"/>
  <c r="J21" i="13"/>
  <c r="M35" i="13"/>
  <c r="D63" i="13" s="1"/>
  <c r="J11" i="13"/>
  <c r="J12" i="13"/>
  <c r="K13" i="13"/>
  <c r="I22" i="13"/>
  <c r="J23" i="13"/>
  <c r="I27" i="13"/>
  <c r="N51" i="13"/>
  <c r="D66" i="13" s="1"/>
  <c r="E75" i="13" s="1"/>
  <c r="J10" i="13"/>
  <c r="J22" i="13"/>
  <c r="K15" i="13"/>
  <c r="K22" i="13"/>
  <c r="K25" i="13"/>
  <c r="I25" i="13"/>
  <c r="N43" i="13"/>
  <c r="K11" i="13"/>
  <c r="I11" i="13"/>
  <c r="I15" i="13"/>
  <c r="K23" i="13"/>
  <c r="J27" i="13"/>
  <c r="N35" i="13"/>
  <c r="J25" i="13"/>
  <c r="J26" i="13"/>
  <c r="K10" i="13"/>
  <c r="I10" i="13"/>
  <c r="J9" i="13"/>
  <c r="I9" i="13"/>
  <c r="K9" i="13"/>
  <c r="I12" i="13"/>
  <c r="K12" i="13"/>
  <c r="J14" i="13"/>
  <c r="I21" i="13"/>
  <c r="N28" i="13"/>
  <c r="K21" i="13"/>
  <c r="I14" i="13"/>
  <c r="K14" i="13"/>
  <c r="N16" i="13"/>
  <c r="M15" i="13" l="1"/>
  <c r="M24" i="13"/>
  <c r="D64" i="35"/>
  <c r="L64" i="35" s="1"/>
  <c r="E71" i="35" s="1"/>
  <c r="L62" i="35"/>
  <c r="E19" i="12" s="1"/>
  <c r="J19" i="12" s="1"/>
  <c r="J30" i="12" s="1"/>
  <c r="L62" i="36"/>
  <c r="E20" i="12" s="1"/>
  <c r="D64" i="36"/>
  <c r="L64" i="36" s="1"/>
  <c r="E71" i="36" s="1"/>
  <c r="D64" i="37"/>
  <c r="L64" i="37" s="1"/>
  <c r="F70" i="37" s="1"/>
  <c r="L62" i="37"/>
  <c r="E21" i="12" s="1"/>
  <c r="L62" i="34"/>
  <c r="E18" i="12" s="1"/>
  <c r="J18" i="12" s="1"/>
  <c r="E7" i="12"/>
  <c r="J7" i="12" s="1"/>
  <c r="D64" i="33"/>
  <c r="L64" i="33" s="1"/>
  <c r="E71" i="33" s="1"/>
  <c r="L62" i="33"/>
  <c r="E17" i="12" s="1"/>
  <c r="E71" i="34"/>
  <c r="M11" i="13"/>
  <c r="M27" i="13"/>
  <c r="M23" i="13"/>
  <c r="M13" i="13"/>
  <c r="M26" i="13"/>
  <c r="M22" i="13"/>
  <c r="M25" i="13"/>
  <c r="M31" i="12"/>
  <c r="J8" i="12"/>
  <c r="L30" i="12"/>
  <c r="D65" i="13"/>
  <c r="E73" i="13" s="1"/>
  <c r="F74" i="13"/>
  <c r="M14" i="13"/>
  <c r="M10" i="13"/>
  <c r="M12" i="13"/>
  <c r="M9" i="13"/>
  <c r="M21" i="13"/>
  <c r="M30" i="12"/>
  <c r="M28" i="13" l="1"/>
  <c r="E71" i="37"/>
  <c r="F70" i="35"/>
  <c r="F70" i="36"/>
  <c r="F70" i="33"/>
  <c r="J10" i="12"/>
  <c r="J6" i="12"/>
  <c r="L31" i="12"/>
  <c r="M16" i="13"/>
  <c r="F72" i="13"/>
  <c r="J21" i="12"/>
  <c r="D62" i="13" l="1"/>
  <c r="D64" i="13" s="1"/>
  <c r="E71" i="13" s="1"/>
  <c r="J20" i="12"/>
  <c r="J31" i="12" s="1"/>
  <c r="J9" i="12"/>
  <c r="J17" i="12"/>
  <c r="J28" i="12" s="1"/>
  <c r="N3" i="1"/>
  <c r="M28" i="12"/>
  <c r="M29" i="12"/>
  <c r="L28" i="12"/>
  <c r="L29" i="12"/>
  <c r="L32" i="12"/>
  <c r="J29" i="12"/>
  <c r="J32" i="12"/>
  <c r="F70" i="13" l="1"/>
  <c r="N49" i="1"/>
  <c r="N50" i="1"/>
  <c r="N48" i="1"/>
  <c r="N41" i="1"/>
  <c r="N42" i="1"/>
  <c r="N40" i="1"/>
  <c r="M50" i="1" l="1"/>
  <c r="M48" i="1"/>
  <c r="M42" i="1"/>
  <c r="M40" i="1"/>
  <c r="N43" i="1" l="1"/>
  <c r="N51" i="1"/>
  <c r="D66" i="1" s="1"/>
  <c r="N27" i="1"/>
  <c r="N11" i="1"/>
  <c r="N13" i="1"/>
  <c r="M5" i="12" l="1"/>
  <c r="M12" i="12" s="1"/>
  <c r="L66" i="1"/>
  <c r="I27" i="1"/>
  <c r="K27" i="1"/>
  <c r="J27" i="1"/>
  <c r="I11" i="1"/>
  <c r="K11" i="1"/>
  <c r="I13" i="1"/>
  <c r="K13" i="1"/>
  <c r="J13" i="1"/>
  <c r="J11" i="1"/>
  <c r="N10" i="1"/>
  <c r="N14" i="1"/>
  <c r="N15" i="1"/>
  <c r="N22" i="1"/>
  <c r="N23" i="1"/>
  <c r="N24" i="1"/>
  <c r="N25" i="1"/>
  <c r="N26" i="1"/>
  <c r="M34" i="1"/>
  <c r="M35" i="1" s="1"/>
  <c r="D63" i="1" s="1"/>
  <c r="N21" i="1"/>
  <c r="N12" i="1"/>
  <c r="K12" i="1" s="1"/>
  <c r="E75" i="1" l="1"/>
  <c r="M32" i="12"/>
  <c r="M16" i="12"/>
  <c r="M23" i="12" s="1"/>
  <c r="E44" i="12" s="1"/>
  <c r="F74" i="1"/>
  <c r="M27" i="1"/>
  <c r="K9" i="1"/>
  <c r="J9" i="1"/>
  <c r="K26" i="1"/>
  <c r="M11" i="1"/>
  <c r="I14" i="1"/>
  <c r="J24" i="1"/>
  <c r="J25" i="1"/>
  <c r="J15" i="1"/>
  <c r="I12" i="1"/>
  <c r="K23" i="1"/>
  <c r="J12" i="1"/>
  <c r="M13" i="1"/>
  <c r="J14" i="1"/>
  <c r="K10" i="1"/>
  <c r="J22" i="1"/>
  <c r="I23" i="1"/>
  <c r="I25" i="1"/>
  <c r="J10" i="1"/>
  <c r="I15" i="1"/>
  <c r="K25" i="1"/>
  <c r="K14" i="1"/>
  <c r="J23" i="1"/>
  <c r="J26" i="1"/>
  <c r="K15" i="1"/>
  <c r="I22" i="1"/>
  <c r="N35" i="1"/>
  <c r="G5" i="12"/>
  <c r="N16" i="1"/>
  <c r="I26" i="1"/>
  <c r="K22" i="1"/>
  <c r="I24" i="1"/>
  <c r="K24" i="1"/>
  <c r="I10" i="1"/>
  <c r="K21" i="1"/>
  <c r="N28" i="1"/>
  <c r="J21" i="1"/>
  <c r="I21" i="1"/>
  <c r="M27" i="12" l="1"/>
  <c r="G12" i="12"/>
  <c r="M34" i="12"/>
  <c r="F43" i="12"/>
  <c r="D65" i="1"/>
  <c r="L65" i="1" s="1"/>
  <c r="L63" i="1"/>
  <c r="G16" i="12" s="1"/>
  <c r="G23" i="12" s="1"/>
  <c r="M12" i="1"/>
  <c r="M14" i="1"/>
  <c r="M9" i="1"/>
  <c r="M10" i="1"/>
  <c r="M26" i="1"/>
  <c r="M25" i="1"/>
  <c r="M23" i="1"/>
  <c r="M21" i="1"/>
  <c r="M15" i="1"/>
  <c r="M22" i="1"/>
  <c r="M24" i="1"/>
  <c r="F72" i="1" l="1"/>
  <c r="L16" i="12"/>
  <c r="L5" i="12"/>
  <c r="E73" i="1"/>
  <c r="M16" i="1"/>
  <c r="M28" i="1"/>
  <c r="D62" i="1" l="1"/>
  <c r="L12" i="12"/>
  <c r="L23" i="12"/>
  <c r="F41" i="12" s="1"/>
  <c r="L27" i="12"/>
  <c r="L62" i="1" l="1"/>
  <c r="E16" i="12" s="1"/>
  <c r="J16" i="12" s="1"/>
  <c r="E5" i="12"/>
  <c r="L34" i="12"/>
  <c r="E42" i="12"/>
  <c r="D64" i="1"/>
  <c r="L64" i="1" s="1"/>
  <c r="F70" i="1" s="1"/>
  <c r="J5" i="12" l="1"/>
  <c r="J12" i="12" s="1"/>
  <c r="E12" i="12"/>
  <c r="E71" i="1"/>
  <c r="E23" i="12"/>
  <c r="J23" i="12" l="1"/>
  <c r="J27" i="12"/>
  <c r="J34" i="12" l="1"/>
  <c r="E40" i="12"/>
  <c r="F39" i="12"/>
</calcChain>
</file>

<file path=xl/sharedStrings.xml><?xml version="1.0" encoding="utf-8"?>
<sst xmlns="http://schemas.openxmlformats.org/spreadsheetml/2006/main" count="2893" uniqueCount="376">
  <si>
    <t>This calculator is meant as a guide only. While reasonable efforts have been made to ensure that the contents of the calculator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t>
  </si>
  <si>
    <t>Full year</t>
  </si>
  <si>
    <t>Facility name (optional)</t>
  </si>
  <si>
    <t>Operational Control</t>
  </si>
  <si>
    <t>Part year</t>
  </si>
  <si>
    <t>Amount</t>
  </si>
  <si>
    <t>Unit</t>
  </si>
  <si>
    <t>Greenhouse gases</t>
  </si>
  <si>
    <t>Total scope 1 emissions</t>
  </si>
  <si>
    <t>Total energy (GJ)</t>
  </si>
  <si>
    <t>CALCULATION FACTORS</t>
  </si>
  <si>
    <r>
      <t>CO</t>
    </r>
    <r>
      <rPr>
        <vertAlign val="subscript"/>
        <sz val="11"/>
        <color theme="1"/>
        <rFont val="Calibri"/>
        <family val="2"/>
        <scheme val="minor"/>
      </rPr>
      <t>2</t>
    </r>
  </si>
  <si>
    <r>
      <t>CH</t>
    </r>
    <r>
      <rPr>
        <vertAlign val="subscript"/>
        <sz val="11"/>
        <color theme="1"/>
        <rFont val="Calibri"/>
        <family val="2"/>
        <scheme val="minor"/>
      </rPr>
      <t>4</t>
    </r>
  </si>
  <si>
    <r>
      <t>N</t>
    </r>
    <r>
      <rPr>
        <vertAlign val="subscript"/>
        <sz val="11"/>
        <color theme="1"/>
        <rFont val="Calibri"/>
        <family val="2"/>
        <scheme val="minor"/>
      </rPr>
      <t>2</t>
    </r>
    <r>
      <rPr>
        <sz val="11"/>
        <color theme="1"/>
        <rFont val="Calibri"/>
        <family val="2"/>
        <scheme val="minor"/>
      </rPr>
      <t>O</t>
    </r>
  </si>
  <si>
    <r>
      <t>(t CO</t>
    </r>
    <r>
      <rPr>
        <vertAlign val="subscript"/>
        <sz val="11"/>
        <color theme="1"/>
        <rFont val="Calibri"/>
        <family val="2"/>
        <scheme val="minor"/>
      </rPr>
      <t>2</t>
    </r>
    <r>
      <rPr>
        <sz val="11"/>
        <color theme="1"/>
        <rFont val="Calibri"/>
        <family val="2"/>
        <scheme val="minor"/>
      </rPr>
      <t>-e)</t>
    </r>
  </si>
  <si>
    <t>(Gigajoules)</t>
  </si>
  <si>
    <t>Select fuels below</t>
  </si>
  <si>
    <t>Enter amount below</t>
  </si>
  <si>
    <t>CO2</t>
  </si>
  <si>
    <t>CH4</t>
  </si>
  <si>
    <t>N2O</t>
  </si>
  <si>
    <t>ECF</t>
  </si>
  <si>
    <t>-</t>
  </si>
  <si>
    <r>
      <t>Total Scope 1 transport emissions (t CO</t>
    </r>
    <r>
      <rPr>
        <vertAlign val="subscript"/>
        <sz val="11"/>
        <color theme="1"/>
        <rFont val="Calibri"/>
        <family val="2"/>
        <scheme val="minor"/>
      </rPr>
      <t>2</t>
    </r>
    <r>
      <rPr>
        <sz val="11"/>
        <color theme="1"/>
        <rFont val="Calibri"/>
        <family val="2"/>
        <scheme val="minor"/>
      </rPr>
      <t>-e) and energy consumed (GJ)</t>
    </r>
  </si>
  <si>
    <t>Greenhouse gasses</t>
  </si>
  <si>
    <r>
      <t>Total Scope 1 non-transport emissions (t CO</t>
    </r>
    <r>
      <rPr>
        <vertAlign val="subscript"/>
        <sz val="11"/>
        <color theme="1"/>
        <rFont val="Calibri"/>
        <family val="2"/>
        <scheme val="minor"/>
      </rPr>
      <t>2</t>
    </r>
    <r>
      <rPr>
        <sz val="11"/>
        <color theme="1"/>
        <rFont val="Calibri"/>
        <family val="2"/>
        <scheme val="minor"/>
      </rPr>
      <t>-e) and energy consumed (GJ)</t>
    </r>
  </si>
  <si>
    <t>Emission factor</t>
  </si>
  <si>
    <t>Total scope 2 emissions</t>
  </si>
  <si>
    <t>EF</t>
  </si>
  <si>
    <t>SCOPE 2 CALCULATION FACTORS</t>
  </si>
  <si>
    <t>Select state/territory below</t>
  </si>
  <si>
    <t>kWh</t>
  </si>
  <si>
    <r>
      <t>Total Scope 2 emissions (t CO</t>
    </r>
    <r>
      <rPr>
        <vertAlign val="subscript"/>
        <sz val="11"/>
        <color theme="1"/>
        <rFont val="Calibri"/>
        <family val="2"/>
        <scheme val="minor"/>
      </rPr>
      <t>2</t>
    </r>
    <r>
      <rPr>
        <sz val="11"/>
        <color theme="1"/>
        <rFont val="Calibri"/>
        <family val="2"/>
        <scheme val="minor"/>
      </rPr>
      <t>-e) and energy consumed (GJ)</t>
    </r>
  </si>
  <si>
    <t>Select energy source below</t>
  </si>
  <si>
    <t>Total energy consumed (GJ)</t>
  </si>
  <si>
    <t>Select energy product below</t>
  </si>
  <si>
    <t>Total energy produced (GJ)</t>
  </si>
  <si>
    <r>
      <t>Greenhouse gasses (t CO</t>
    </r>
    <r>
      <rPr>
        <vertAlign val="subscript"/>
        <sz val="11"/>
        <color theme="1"/>
        <rFont val="Calibri"/>
        <family val="2"/>
        <scheme val="minor"/>
      </rPr>
      <t>2</t>
    </r>
    <r>
      <rPr>
        <sz val="11"/>
        <color theme="1"/>
        <rFont val="Calibri"/>
        <family val="2"/>
        <scheme val="minor"/>
      </rPr>
      <t>-e)</t>
    </r>
  </si>
  <si>
    <t>Enter gas below</t>
  </si>
  <si>
    <r>
      <t>Total Scope 1 emissions (t CO</t>
    </r>
    <r>
      <rPr>
        <vertAlign val="subscript"/>
        <sz val="11"/>
        <color theme="1"/>
        <rFont val="Calibri"/>
        <family val="2"/>
        <scheme val="minor"/>
      </rPr>
      <t>2</t>
    </r>
    <r>
      <rPr>
        <sz val="11"/>
        <color theme="1"/>
        <rFont val="Calibri"/>
        <family val="2"/>
        <scheme val="minor"/>
      </rPr>
      <t>-e)</t>
    </r>
  </si>
  <si>
    <t>Reported emissions</t>
  </si>
  <si>
    <t>Calculated full-year emissions</t>
  </si>
  <si>
    <t>Total Scope 1 emissions</t>
  </si>
  <si>
    <r>
      <t>t CO</t>
    </r>
    <r>
      <rPr>
        <vertAlign val="subscript"/>
        <sz val="11"/>
        <color theme="1"/>
        <rFont val="Calibri"/>
        <family val="2"/>
        <scheme val="minor"/>
      </rPr>
      <t>2</t>
    </r>
    <r>
      <rPr>
        <sz val="11"/>
        <color theme="1"/>
        <rFont val="Calibri"/>
        <family val="2"/>
        <scheme val="minor"/>
      </rPr>
      <t>-e</t>
    </r>
  </si>
  <si>
    <t>Total Scope 2 emissions</t>
  </si>
  <si>
    <t>TOTAL EMISSIONS</t>
  </si>
  <si>
    <r>
      <t>t CO</t>
    </r>
    <r>
      <rPr>
        <b/>
        <vertAlign val="subscript"/>
        <sz val="11"/>
        <color theme="1"/>
        <rFont val="Calibri"/>
        <family val="2"/>
        <scheme val="minor"/>
      </rPr>
      <t>2</t>
    </r>
    <r>
      <rPr>
        <b/>
        <sz val="11"/>
        <color theme="1"/>
        <rFont val="Calibri"/>
        <family val="2"/>
        <scheme val="minor"/>
      </rPr>
      <t>-e</t>
    </r>
  </si>
  <si>
    <t>TOTAL ENERGY CONSUMED</t>
  </si>
  <si>
    <t>GJ</t>
  </si>
  <si>
    <t>TOTAL ENERGY PRODUCED</t>
  </si>
  <si>
    <t>Total emissions threshold</t>
  </si>
  <si>
    <r>
      <t>0 t CO</t>
    </r>
    <r>
      <rPr>
        <b/>
        <vertAlign val="subscript"/>
        <sz val="11"/>
        <color theme="9" tint="-0.249977111117893"/>
        <rFont val="Calibri"/>
        <family val="2"/>
        <scheme val="minor"/>
      </rPr>
      <t>2</t>
    </r>
    <r>
      <rPr>
        <b/>
        <sz val="11"/>
        <color theme="9" tint="-0.249977111117893"/>
        <rFont val="Calibri"/>
        <family val="2"/>
        <scheme val="minor"/>
      </rPr>
      <t>-e</t>
    </r>
  </si>
  <si>
    <r>
      <t>25,000 t CO</t>
    </r>
    <r>
      <rPr>
        <b/>
        <vertAlign val="subscript"/>
        <sz val="11"/>
        <color rgb="FFFF0000"/>
        <rFont val="Calibri"/>
        <family val="2"/>
        <scheme val="minor"/>
      </rPr>
      <t>2</t>
    </r>
    <r>
      <rPr>
        <b/>
        <sz val="11"/>
        <color rgb="FFFF0000"/>
        <rFont val="Calibri"/>
        <family val="2"/>
        <scheme val="minor"/>
      </rPr>
      <t>-e</t>
    </r>
  </si>
  <si>
    <t>Energy consumption threshold</t>
  </si>
  <si>
    <t>0 GJ</t>
  </si>
  <si>
    <t>100,000 GJ</t>
  </si>
  <si>
    <t>Energy production threshold</t>
  </si>
  <si>
    <t>Scope 1 emissions</t>
  </si>
  <si>
    <t>Scope 2 emissions</t>
  </si>
  <si>
    <t>ENERGY CONSUMED</t>
  </si>
  <si>
    <t>ENERGY PRODUCED</t>
  </si>
  <si>
    <t>DAYS COVERED</t>
  </si>
  <si>
    <t>Facility 1</t>
  </si>
  <si>
    <t>Facility 2</t>
  </si>
  <si>
    <t>Facility 3</t>
  </si>
  <si>
    <t>Facility 4</t>
  </si>
  <si>
    <t>Facility 5</t>
  </si>
  <si>
    <t>Facility 6</t>
  </si>
  <si>
    <t>Total for corporation - as entered</t>
  </si>
  <si>
    <t>Total for corporation - full year</t>
  </si>
  <si>
    <t>EMISSIONS
THRESHOLD</t>
  </si>
  <si>
    <t>ENERGY CONSUMED
THRESHOLD</t>
  </si>
  <si>
    <t>ENERGY PRODUCED
THRESHOLD</t>
  </si>
  <si>
    <t>Solvents if mineral turpentine or white spirits</t>
  </si>
  <si>
    <t>kL</t>
  </si>
  <si>
    <t>Petroleum based oils (other than petroleum based oil used as fuel)</t>
  </si>
  <si>
    <t>38.8</t>
  </si>
  <si>
    <t>Liquefied petroleum gas</t>
  </si>
  <si>
    <t>Petroleum based products other than: Petroleum based products mentioned in items 31, 32 and 33 to 48</t>
  </si>
  <si>
    <t>34.4</t>
  </si>
  <si>
    <t>Naphtha</t>
  </si>
  <si>
    <t>Petroleum coke</t>
  </si>
  <si>
    <t>34.2</t>
  </si>
  <si>
    <t>tonnes</t>
  </si>
  <si>
    <t>Primary solid biomass fuels other than those mentioned in items 10 to 15</t>
  </si>
  <si>
    <t>12.2</t>
  </si>
  <si>
    <t>Corporation</t>
  </si>
  <si>
    <t>Refinery gas and liquids</t>
  </si>
  <si>
    <t>Refinery coke</t>
  </si>
  <si>
    <t>42.9</t>
  </si>
  <si>
    <t>Other petroleum based products</t>
  </si>
  <si>
    <t>Sludge biogas that is captured for combustion (methane only)</t>
  </si>
  <si>
    <t>0.0377</t>
  </si>
  <si>
    <t>m3</t>
  </si>
  <si>
    <t>Biodiesel</t>
  </si>
  <si>
    <t>Solid fossil fuels other than those mentioned in items 1 to 5</t>
  </si>
  <si>
    <t>22.1</t>
  </si>
  <si>
    <t>Solid fossil fuels other than those mentioned elsewhere</t>
  </si>
  <si>
    <t>Ethanol for use as a fuel in an internal combustion engine</t>
  </si>
  <si>
    <t>Solvents if mineral turpentine or white spirits - Non-energy product</t>
  </si>
  <si>
    <t xml:space="preserve">Total emissions threshold </t>
  </si>
  <si>
    <r>
      <t>0 tCO</t>
    </r>
    <r>
      <rPr>
        <b/>
        <vertAlign val="subscript"/>
        <sz val="11"/>
        <color theme="9" tint="-0.249977111117893"/>
        <rFont val="Calibri"/>
        <family val="2"/>
        <scheme val="minor"/>
      </rPr>
      <t>2</t>
    </r>
    <r>
      <rPr>
        <b/>
        <sz val="11"/>
        <color theme="9" tint="-0.249977111117893"/>
        <rFont val="Calibri"/>
        <family val="2"/>
        <scheme val="minor"/>
      </rPr>
      <t>-e</t>
    </r>
  </si>
  <si>
    <r>
      <t>50,000 tCO</t>
    </r>
    <r>
      <rPr>
        <b/>
        <vertAlign val="subscript"/>
        <sz val="11"/>
        <color rgb="FFFF0000"/>
        <rFont val="Calibri"/>
        <family val="2"/>
        <scheme val="minor"/>
      </rPr>
      <t>2</t>
    </r>
    <r>
      <rPr>
        <b/>
        <sz val="11"/>
        <color rgb="FFFF0000"/>
        <rFont val="Calibri"/>
        <family val="2"/>
        <scheme val="minor"/>
      </rPr>
      <t>-e</t>
    </r>
  </si>
  <si>
    <t xml:space="preserve">Other biofuels </t>
  </si>
  <si>
    <t>Sub-bituminous coal</t>
  </si>
  <si>
    <t>21</t>
  </si>
  <si>
    <t xml:space="preserve">Energy consumption threshold </t>
  </si>
  <si>
    <t>200,000 GJ</t>
  </si>
  <si>
    <t>(RCPHE), if recycled and combusted to produce heat or electricity</t>
  </si>
  <si>
    <t>Sulphite lyes</t>
  </si>
  <si>
    <t>12.4</t>
  </si>
  <si>
    <t>Town gas</t>
  </si>
  <si>
    <t>0.039</t>
  </si>
  <si>
    <t xml:space="preserve">Energy production threshold </t>
  </si>
  <si>
    <t>Unprocessed natural gas</t>
  </si>
  <si>
    <t>0.0393</t>
  </si>
  <si>
    <t>Waxes - Non-energy product</t>
  </si>
  <si>
    <t>45.8</t>
  </si>
  <si>
    <t>Electricity</t>
  </si>
  <si>
    <t>Solvents (mineral turpentine or white spirits)</t>
  </si>
  <si>
    <t>Bitumen</t>
  </si>
  <si>
    <t>Waxes</t>
  </si>
  <si>
    <t>Carbon black (petrochemical feedstock)</t>
  </si>
  <si>
    <t>Ethylene (petrochemical feedstock)</t>
  </si>
  <si>
    <t>Other petrochemical</t>
  </si>
  <si>
    <t>Electricity (Generated onsite)</t>
  </si>
  <si>
    <t>Solar energy for electricity generation</t>
  </si>
  <si>
    <t>Wind energy for electricity generation</t>
  </si>
  <si>
    <t>Water energy for electricity generation</t>
  </si>
  <si>
    <t>Geothermal energy for electricity generation</t>
  </si>
  <si>
    <t>For an explanation of what each field represents, hover your mouse cursor over the highlighted fields.</t>
  </si>
  <si>
    <t>COMBUSTED TRANSPORT</t>
  </si>
  <si>
    <t>COMBUSTED OTHER</t>
  </si>
  <si>
    <t>SCOPE 2</t>
  </si>
  <si>
    <t>PRODUCTION</t>
  </si>
  <si>
    <t>CONSUMPTION</t>
  </si>
  <si>
    <t>Diesel oil</t>
  </si>
  <si>
    <t>Anthracite</t>
  </si>
  <si>
    <t>Location</t>
  </si>
  <si>
    <t>Output</t>
  </si>
  <si>
    <t>A biogas that is captured for combustion (methane only)</t>
  </si>
  <si>
    <t>Gasoline used as a fuel in an aircraft</t>
  </si>
  <si>
    <t>Other biofuels</t>
  </si>
  <si>
    <t>Bagasse</t>
  </si>
  <si>
    <t>.</t>
  </si>
  <si>
    <t>Diesel oil  (post-2004 vehicles)</t>
  </si>
  <si>
    <t>38.6</t>
  </si>
  <si>
    <t>69.9</t>
  </si>
  <si>
    <t>0.01</t>
  </si>
  <si>
    <t>New South Wales</t>
  </si>
  <si>
    <t>0.1</t>
  </si>
  <si>
    <t>Biomass municipal and industrial materials (RCPHE)</t>
  </si>
  <si>
    <t>Australian Capital Territory</t>
  </si>
  <si>
    <t>Diesel oil (Euro i)</t>
  </si>
  <si>
    <t>Bituminous coal</t>
  </si>
  <si>
    <t>Victoria</t>
  </si>
  <si>
    <t>Diesel oil (Euro iii)</t>
  </si>
  <si>
    <t>Blast furnace gas</t>
  </si>
  <si>
    <t>Tasmania</t>
  </si>
  <si>
    <t>Diesel oil (Euro iv or higher)</t>
  </si>
  <si>
    <t>Brown coal</t>
  </si>
  <si>
    <t>South Australia</t>
  </si>
  <si>
    <t>Bitumen - Non-energy product</t>
  </si>
  <si>
    <t>Ethanol (post-2004 vehicles)</t>
  </si>
  <si>
    <t>23.4</t>
  </si>
  <si>
    <t>Charcoal</t>
  </si>
  <si>
    <t>South West Western Australia</t>
  </si>
  <si>
    <t xml:space="preserve">Ethanol </t>
  </si>
  <si>
    <t>Coal briquettes</t>
  </si>
  <si>
    <t>Northern Territory</t>
  </si>
  <si>
    <t>Fuel oil</t>
  </si>
  <si>
    <t>39.7</t>
  </si>
  <si>
    <t>73.6</t>
  </si>
  <si>
    <t>Coal coke</t>
  </si>
  <si>
    <t>Queensland</t>
  </si>
  <si>
    <t>Gasoline (post-2004 vehicles)</t>
  </si>
  <si>
    <t>67.4</t>
  </si>
  <si>
    <t>Coal mine waste gas that is captured for combustion</t>
  </si>
  <si>
    <t>Not purchased from the main grid</t>
  </si>
  <si>
    <t>Carbon black if used as a petrochemical feedstock - Non-energy product</t>
  </si>
  <si>
    <t>Gasoline (other than for use as fuel in an aircraft)</t>
  </si>
  <si>
    <t>Coal seam methane that is captured for combustion</t>
  </si>
  <si>
    <t>33.1</t>
  </si>
  <si>
    <t>67.0</t>
  </si>
  <si>
    <t>Coal tar</t>
  </si>
  <si>
    <t>Kerosene used as fuel in an aircraft</t>
  </si>
  <si>
    <t>36.8</t>
  </si>
  <si>
    <t>69.6</t>
  </si>
  <si>
    <t>0.6</t>
  </si>
  <si>
    <t>Coke oven gas</t>
  </si>
  <si>
    <t>Liquefied natural gas (heavy duty vehicles)</t>
  </si>
  <si>
    <t>25.3</t>
  </si>
  <si>
    <t>51.4</t>
  </si>
  <si>
    <t>Coking coal</t>
  </si>
  <si>
    <t>Liquefied natural gas (light duty vehicles)</t>
  </si>
  <si>
    <t>Compressed natural gas that has reverted to standard conditions</t>
  </si>
  <si>
    <t>Liquefied petroleum gas (post-2004 vehicles)</t>
  </si>
  <si>
    <t>26.2</t>
  </si>
  <si>
    <t>60.2</t>
  </si>
  <si>
    <t>Crude oil including crude oil condensates</t>
  </si>
  <si>
    <t>Natural gas (heavy duty vehicles)</t>
  </si>
  <si>
    <t>Dry wood</t>
  </si>
  <si>
    <t>Natural gas (light duty vehicles)</t>
  </si>
  <si>
    <t>Ethane</t>
  </si>
  <si>
    <t>Compressed natural gas that has reverted back to standard conditions</t>
  </si>
  <si>
    <t>45.3</t>
  </si>
  <si>
    <t>16.2</t>
  </si>
  <si>
    <t>Gasoline for use as fuel in an aircraft</t>
  </si>
  <si>
    <t>Green and air dried wood</t>
  </si>
  <si>
    <t>0.0629</t>
  </si>
  <si>
    <t>Heating oil</t>
  </si>
  <si>
    <t>Industrial materials and tyres derived from fossil fuels (RCPHE)</t>
  </si>
  <si>
    <t>Ethylene if used as a petrochemical feedstock - Non-energy product</t>
  </si>
  <si>
    <t>50.3</t>
  </si>
  <si>
    <t>Kerosene (other than for use as fuel in an aircraft)</t>
  </si>
  <si>
    <t>Kerosene for use as fuel in an aircraft</t>
  </si>
  <si>
    <t>Other gaseous fossil fuels</t>
  </si>
  <si>
    <t>Landfill biogas that is captured for combustion (methane only)</t>
  </si>
  <si>
    <t>Liquefied aromatic hydrocarbons</t>
  </si>
  <si>
    <t>Gasoline for use as a fuel in an aircraft</t>
  </si>
  <si>
    <t>Natural gas distributed in a pipeline</t>
  </si>
  <si>
    <t>Liquefied natural gas</t>
  </si>
  <si>
    <t>10.4</t>
  </si>
  <si>
    <t>37.3</t>
  </si>
  <si>
    <t>Industrial materials and tyres that are derived from fossil fuels (RCPHE)</t>
  </si>
  <si>
    <t>26.3</t>
  </si>
  <si>
    <t>37.5</t>
  </si>
  <si>
    <t>Non‑biomass municipal materials (RCPHE)</t>
  </si>
  <si>
    <t>Other biogas that is captured for combustion (methane only)</t>
  </si>
  <si>
    <t>Other natural gas liquids</t>
  </si>
  <si>
    <t>25.7</t>
  </si>
  <si>
    <t>31.4</t>
  </si>
  <si>
    <t>Other primary solid biomass fuels</t>
  </si>
  <si>
    <t>Other solid fossil fuels</t>
  </si>
  <si>
    <t>Non-biomass municipal materials (RCPHE)</t>
  </si>
  <si>
    <t>10.5</t>
  </si>
  <si>
    <t>Petroleum based greases</t>
  </si>
  <si>
    <t>46.5</t>
  </si>
  <si>
    <t>Enter custom emissions</t>
  </si>
  <si>
    <t>Methane from wastewater</t>
  </si>
  <si>
    <t>Sub‑bituminous coal</t>
  </si>
  <si>
    <r>
      <t>t CO</t>
    </r>
    <r>
      <rPr>
        <vertAlign val="subscript"/>
        <sz val="12"/>
        <color theme="1"/>
        <rFont val="Calibri"/>
        <family val="2"/>
        <scheme val="minor"/>
      </rPr>
      <t>2</t>
    </r>
    <r>
      <rPr>
        <sz val="12"/>
        <color theme="1"/>
        <rFont val="Calibri"/>
        <family val="2"/>
        <scheme val="minor"/>
      </rPr>
      <t>-e</t>
    </r>
  </si>
  <si>
    <r>
      <t>t CO</t>
    </r>
    <r>
      <rPr>
        <b/>
        <vertAlign val="subscript"/>
        <sz val="12"/>
        <color theme="1"/>
        <rFont val="Calibri"/>
        <family val="2"/>
        <scheme val="minor"/>
      </rPr>
      <t>2</t>
    </r>
    <r>
      <rPr>
        <b/>
        <sz val="12"/>
        <color theme="1"/>
        <rFont val="Calibri"/>
        <family val="2"/>
        <scheme val="minor"/>
      </rPr>
      <t>-e</t>
    </r>
  </si>
  <si>
    <t>The following electricity and gas calculators will convert between gigaJoules (GJ) and other units used to measure the amount of electricity or gaseous fuels. Perform each step in order for each calculator to undertake the converstion. The quick lookup calculator will display the emissions and energy  associated with each fuel type and whether is is combusted or otherwise consumed.</t>
  </si>
  <si>
    <t>The calculators are meant as a guide only. While reasonable efforts have been made to ensure that the contents of the calculators are factually correct, the Commonwealth does not accept responsibility for the accuracy or completeness of the contents, and shall not be liable for any loss or damage that may be occasioned directly or indirectly through the use of, or reliance on, the data produced by the calculators.</t>
  </si>
  <si>
    <t>Convert kilowatt hours (kWh) to gigajoules (GJ) - gigajoules (GJ) to kilowatt hours (kWh)</t>
  </si>
  <si>
    <t>ELECTRICITY CONVERSION</t>
  </si>
  <si>
    <t>LOOKUP</t>
  </si>
  <si>
    <t>1. select conversion</t>
  </si>
  <si>
    <t>2. enter amount to convert</t>
  </si>
  <si>
    <t>Convert kilowatt hours (kWh) to gigajoules (GJ)</t>
  </si>
  <si>
    <t>Solid fuels</t>
  </si>
  <si>
    <t>Combusted</t>
  </si>
  <si>
    <t>Converted amount</t>
  </si>
  <si>
    <t>Convert gigajoules (GJ) to kilowatt hours (kWh)</t>
  </si>
  <si>
    <t>Liquid fuels - transport</t>
  </si>
  <si>
    <t>Not combusted</t>
  </si>
  <si>
    <t>Liquid fuels - stationary</t>
  </si>
  <si>
    <t>Gaseous fuels</t>
  </si>
  <si>
    <t>Convert cubic metres (m3) to gigajoules (GJ) - gigajoules (GJ) to cubic metres (m3)</t>
  </si>
  <si>
    <t>GASEOUS CONVERSION</t>
  </si>
  <si>
    <t>GJ/tonne</t>
  </si>
  <si>
    <t>1 tonne equals</t>
  </si>
  <si>
    <t>2. select gas</t>
  </si>
  <si>
    <t>Convert cubic metres (m3) to gigajoules (GJ)</t>
  </si>
  <si>
    <t>3. enter amount to convert</t>
  </si>
  <si>
    <t>Convert gigajoules (GJ) to cubic metres (m3)</t>
  </si>
  <si>
    <r>
      <t>39.3 × 10</t>
    </r>
    <r>
      <rPr>
        <vertAlign val="superscript"/>
        <sz val="10"/>
        <color theme="1"/>
        <rFont val="Times New Roman"/>
        <family val="1"/>
      </rPr>
      <t>‑3</t>
    </r>
  </si>
  <si>
    <r>
      <t>37.7 × 10</t>
    </r>
    <r>
      <rPr>
        <vertAlign val="superscript"/>
        <sz val="10"/>
        <color theme="1"/>
        <rFont val="Times New Roman"/>
        <family val="1"/>
      </rPr>
      <t>‑3</t>
    </r>
  </si>
  <si>
    <t>Lookup energy content factors and emission factors of fuels and energy sources</t>
  </si>
  <si>
    <t>1. select fuel type</t>
  </si>
  <si>
    <t>2. select fuel</t>
  </si>
  <si>
    <t>Industrial materials and tyres that are derived from fossil fuels *</t>
  </si>
  <si>
    <t>3. select action</t>
  </si>
  <si>
    <r>
      <t>62.9 × 10</t>
    </r>
    <r>
      <rPr>
        <vertAlign val="superscript"/>
        <sz val="10"/>
        <color theme="1"/>
        <rFont val="Times New Roman"/>
        <family val="1"/>
      </rPr>
      <t>‑3</t>
    </r>
  </si>
  <si>
    <t>Non‑biomass municipal materials *</t>
  </si>
  <si>
    <t>Energy content factor (ECF)</t>
  </si>
  <si>
    <r>
      <t>18.1 × 10</t>
    </r>
    <r>
      <rPr>
        <vertAlign val="superscript"/>
        <sz val="10"/>
        <color theme="1"/>
        <rFont val="Times New Roman"/>
        <family val="1"/>
      </rPr>
      <t>‑3</t>
    </r>
  </si>
  <si>
    <r>
      <t>Carbon dioxide (CO</t>
    </r>
    <r>
      <rPr>
        <b/>
        <vertAlign val="subscript"/>
        <sz val="11"/>
        <color theme="1"/>
        <rFont val="Calibri"/>
        <family val="2"/>
        <scheme val="minor"/>
      </rPr>
      <t>2</t>
    </r>
    <r>
      <rPr>
        <b/>
        <sz val="11"/>
        <color theme="1"/>
        <rFont val="Calibri"/>
        <family val="2"/>
        <scheme val="minor"/>
      </rPr>
      <t>)</t>
    </r>
  </si>
  <si>
    <r>
      <t>kg CO</t>
    </r>
    <r>
      <rPr>
        <vertAlign val="subscript"/>
        <sz val="11"/>
        <color theme="1"/>
        <rFont val="Calibri"/>
        <family val="2"/>
        <scheme val="minor"/>
      </rPr>
      <t>2</t>
    </r>
    <r>
      <rPr>
        <sz val="11"/>
        <color theme="1"/>
        <rFont val="Calibri"/>
        <family val="2"/>
        <scheme val="minor"/>
      </rPr>
      <t>-e/GJ</t>
    </r>
  </si>
  <si>
    <r>
      <t>4.0 × 10</t>
    </r>
    <r>
      <rPr>
        <vertAlign val="superscript"/>
        <sz val="10"/>
        <color theme="1"/>
        <rFont val="Times New Roman"/>
        <family val="1"/>
      </rPr>
      <t>‑3</t>
    </r>
  </si>
  <si>
    <r>
      <t>Methane (CH</t>
    </r>
    <r>
      <rPr>
        <b/>
        <vertAlign val="subscript"/>
        <sz val="11"/>
        <color theme="1"/>
        <rFont val="Calibri"/>
        <family val="2"/>
        <scheme val="minor"/>
      </rPr>
      <t>4</t>
    </r>
    <r>
      <rPr>
        <b/>
        <sz val="11"/>
        <color theme="1"/>
        <rFont val="Calibri"/>
        <family val="2"/>
        <scheme val="minor"/>
      </rPr>
      <t>)</t>
    </r>
  </si>
  <si>
    <r>
      <t>39.0 × 10</t>
    </r>
    <r>
      <rPr>
        <vertAlign val="superscript"/>
        <sz val="10"/>
        <color theme="1"/>
        <rFont val="Times New Roman"/>
        <family val="1"/>
      </rPr>
      <t>‑3</t>
    </r>
  </si>
  <si>
    <r>
      <t>Nitrous Oxide (N</t>
    </r>
    <r>
      <rPr>
        <b/>
        <vertAlign val="subscript"/>
        <sz val="11"/>
        <color theme="1"/>
        <rFont val="Calibri"/>
        <family val="2"/>
        <scheme val="minor"/>
      </rPr>
      <t>2</t>
    </r>
    <r>
      <rPr>
        <b/>
        <sz val="11"/>
        <color theme="1"/>
        <rFont val="Calibri"/>
        <family val="2"/>
        <scheme val="minor"/>
      </rPr>
      <t>O)</t>
    </r>
  </si>
  <si>
    <t>25.3 GJ/kL</t>
  </si>
  <si>
    <t>Biomass municipal and industrial materials *</t>
  </si>
  <si>
    <t>Gasoline (other than for use as fuel in an aircraft) - transport</t>
  </si>
  <si>
    <t>GJ/kL</t>
  </si>
  <si>
    <t>1 kilolitre equals</t>
  </si>
  <si>
    <t>Diesel oil - transport</t>
  </si>
  <si>
    <t>Gasoline for use as fuel in an aircraft - transport</t>
  </si>
  <si>
    <t>Kerosene for use as fuel in an aircraft - transport</t>
  </si>
  <si>
    <t>Fuel oil - transport</t>
  </si>
  <si>
    <t>Liquefied petroleum gas - transport</t>
  </si>
  <si>
    <t>Biodiesel - transport</t>
  </si>
  <si>
    <t>Ethanol for use as fuel in an internal combustion engine - transport</t>
  </si>
  <si>
    <t>Other biofuels - transport</t>
  </si>
  <si>
    <t>Compressed natural gas that has reverted to standard conditions (light duty vehicles) - transport</t>
  </si>
  <si>
    <t>GJ/m3</t>
  </si>
  <si>
    <t>1 cubic metre equals</t>
  </si>
  <si>
    <t>Compressed natural gas that has reverted to standard conditions (heavy duty vehicles) - transport</t>
  </si>
  <si>
    <t>Liquefied natural gas (light duty vehicles) - transport</t>
  </si>
  <si>
    <t>Liquefied natural gas (heavy duty vehicles) - transport</t>
  </si>
  <si>
    <t>Gasoline (post 2004) - transport</t>
  </si>
  <si>
    <t>Diesel oil (post 2004) - transport</t>
  </si>
  <si>
    <t>Liquefied petroleum gas (post 2004) - transport</t>
  </si>
  <si>
    <t>Ethanol for use as fuel in an internal combustion engine (post 2004)</t>
  </si>
  <si>
    <t>Diesel Oil (Euro iv or higher)</t>
  </si>
  <si>
    <t>Diesel Oil (Euro iii)</t>
  </si>
  <si>
    <t>Diesel Oil (Euro i)</t>
  </si>
  <si>
    <t>Other petroleum based products other than:</t>
  </si>
  <si>
    <t>Gaseous fossil fuels other than those mentioned in items 17 to 26</t>
  </si>
  <si>
    <t>SCHEDULE 1</t>
  </si>
  <si>
    <t>Div 4.1</t>
  </si>
  <si>
    <t>Div. 4.2</t>
  </si>
  <si>
    <t>Div 4.3</t>
  </si>
  <si>
    <t>Biomethane</t>
  </si>
  <si>
    <t>0</t>
  </si>
  <si>
    <t>.0393</t>
  </si>
  <si>
    <t>Crude oil</t>
  </si>
  <si>
    <t>Industrial materials that are derived from fossil fuels (RCPHE)</t>
  </si>
  <si>
    <t>Passenger car tyres (RCPHE)</t>
  </si>
  <si>
    <t>32</t>
  </si>
  <si>
    <t>Plant condensate and other natural gas liquids</t>
  </si>
  <si>
    <t>Truck and off-road tyres (RCPHE)</t>
  </si>
  <si>
    <t>27.1</t>
  </si>
  <si>
    <t>Select energy commodities below …</t>
  </si>
  <si>
    <t>Uranium</t>
  </si>
  <si>
    <t>470000</t>
  </si>
  <si>
    <t>Sulphur</t>
  </si>
  <si>
    <t>4.9</t>
  </si>
  <si>
    <t>Hydrogen</t>
  </si>
  <si>
    <t>143</t>
  </si>
  <si>
    <t>Renewable aviation kerosene</t>
  </si>
  <si>
    <t>Renewable diesel</t>
  </si>
  <si>
    <t>Div 4.2</t>
  </si>
  <si>
    <t>Renewable diesel (post-2004 vehicles)</t>
  </si>
  <si>
    <t>Renewable diesel (Euro iv or higher)</t>
  </si>
  <si>
    <t>0.07</t>
  </si>
  <si>
    <t>0.4</t>
  </si>
  <si>
    <t>Renewable diesel (Euro iii)</t>
  </si>
  <si>
    <t>Renewable diesel (Euro i)</t>
  </si>
  <si>
    <t>0.2</t>
  </si>
  <si>
    <t>0.5</t>
  </si>
  <si>
    <t>Renewable aviation kerosene - transport</t>
  </si>
  <si>
    <t>Renewable diesel - transport</t>
  </si>
  <si>
    <t>Renewable diesel (post 2004) - transport</t>
  </si>
  <si>
    <t xml:space="preserve">Renewable aviation kerosene </t>
  </si>
  <si>
    <t>Emissions and energy threshold calculator</t>
  </si>
  <si>
    <r>
      <t xml:space="preserve">The Output tab will display the total emissions and energy data at the corporate level. This amount will be the calculated annual amount based on the data entered for each facility.
</t>
    </r>
    <r>
      <rPr>
        <b/>
        <sz val="11"/>
        <color theme="1"/>
        <rFont val="Calibri"/>
        <family val="2"/>
        <scheme val="minor"/>
      </rPr>
      <t>Resources</t>
    </r>
    <r>
      <rPr>
        <sz val="11"/>
        <color theme="1"/>
        <rFont val="Calibri"/>
        <family val="2"/>
        <scheme val="minor"/>
      </rPr>
      <t xml:space="preserve">
The following resources, located on the agency website, may assist you in determining if you have reporting obligations under the National Greenhouse and Energy Reporting legislation.
</t>
    </r>
  </si>
  <si>
    <r>
      <t xml:space="preserve">
</t>
    </r>
    <r>
      <rPr>
        <b/>
        <sz val="11"/>
        <color theme="1"/>
        <rFont val="Calibri"/>
        <family val="2"/>
        <scheme val="minor"/>
      </rPr>
      <t>How to use this calculator</t>
    </r>
    <r>
      <rPr>
        <sz val="11"/>
        <color theme="1"/>
        <rFont val="Calibri"/>
        <family val="2"/>
        <scheme val="minor"/>
      </rPr>
      <t xml:space="preserve">
Emissions and energy data is entered by first clicking on the Facility tabs below. The Calculator allows for data to be entered for up to six facilities. To report, first select the fuel/energy source from the appropriate drop-down menu and then enter an appropriate amount in the next field according the unit selected by the Calculator. 
The Calculator will calculate the associated emissions or energy and threshold status based on the data you have entered.  To view an example, click on the Example tab below.
If you are reporting part-year data then you will need to enter the number of days that the data covers. The Calculator will determine the full year emissions and energy data based on the amount you have entered for the number of days you have selected.   The calculator will determine if the reporting threshold has been reached based on the calculated full year data.
</t>
    </r>
  </si>
  <si>
    <t>Facility energy &amp; emissions calculator</t>
  </si>
  <si>
    <t>Transport fuel combustion</t>
  </si>
  <si>
    <t>Non-transport fuel combustion</t>
  </si>
  <si>
    <t>Purchased electricity</t>
  </si>
  <si>
    <t>Consumed without combustion</t>
  </si>
  <si>
    <t>Electricity/energy produced</t>
  </si>
  <si>
    <t>Fugitive emissions (direct entry)</t>
  </si>
  <si>
    <t>Facility summary</t>
  </si>
  <si>
    <t>Annual facility reporting thresholds</t>
  </si>
  <si>
    <t>Corporation emissions &amp; energy calculator</t>
  </si>
  <si>
    <t>Data as entered</t>
  </si>
  <si>
    <t>Full-year data</t>
  </si>
  <si>
    <t>Annual reporting thresholds</t>
  </si>
  <si>
    <t>Annual corporate reporting thresholds</t>
  </si>
  <si>
    <t>Facility Summary</t>
  </si>
  <si>
    <t>Facility reporting thresholds</t>
  </si>
  <si>
    <t>Instructions</t>
  </si>
  <si>
    <t>Gas</t>
  </si>
  <si>
    <t>Quick lookup</t>
  </si>
  <si>
    <t>© Commonwealth of Australia 2026</t>
  </si>
  <si>
    <r>
      <rPr>
        <b/>
        <sz val="11"/>
        <color theme="1"/>
        <rFont val="Calibri"/>
        <family val="2"/>
        <scheme val="minor"/>
      </rPr>
      <t>About this calculator</t>
    </r>
    <r>
      <rPr>
        <sz val="11"/>
        <color theme="1"/>
        <rFont val="Calibri"/>
        <family val="2"/>
        <scheme val="minor"/>
      </rPr>
      <t xml:space="preserve">
Title — Emissions and energy threshold calculator 
Version — 1.7 - July 2026
Author — The Clean Energy Regulator</t>
    </r>
  </si>
  <si>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(2026) Clean Energy Regulator.</t>
  </si>
  <si>
    <t>Emissions and Energy Threshold Calculator © Commonwealth of Australia 2026.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</si>
  <si>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0.0122</t>
  </si>
  <si>
    <r>
      <rPr>
        <b/>
        <sz val="11"/>
        <color theme="1"/>
        <rFont val="Calibri"/>
        <family val="2"/>
        <scheme val="minor"/>
      </rPr>
      <t>About this calculator</t>
    </r>
    <r>
      <rPr>
        <sz val="11"/>
        <color theme="1"/>
        <rFont val="Calibri"/>
        <family val="2"/>
        <scheme val="minor"/>
      </rPr>
      <t xml:space="preserve">
The National Greenhouse and Energy Reporting Threshold Calculator (the Calculator) has been developed by the Clean Energy Regulator (CER) to assist entities to comply with their reporting obligations under the </t>
    </r>
    <r>
      <rPr>
        <i/>
        <sz val="11"/>
        <color theme="1"/>
        <rFont val="Calibri"/>
        <family val="2"/>
        <scheme val="minor"/>
      </rPr>
      <t>National Greenhouse and Energy Reporting Act 2007</t>
    </r>
    <r>
      <rPr>
        <sz val="11"/>
        <color theme="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1.7) is valid for the 2025-2026 reporting year and is valid for subsequent reporting years until a newer calculator has been made available.  Reporters must check the CER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</si>
</sst>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40" x14ac:knownFonts="1">
    <font>
      <sz val="11"/>
      <color theme="1"/>
      <name val="Calibri"/>
      <family val="2"/>
      <scheme val="minor"/>
    </font>
    <font>
      <sz val="1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theme="1"/>
      <name val="Arial"/>
      <family val="2"/>
    </font>
    <font>
      <b/>
      <sz val="11"/>
      <color theme="1"/>
      <name val="Arial"/>
      <family val="2"/>
    </font>
    <font>
      <sz val="20"/>
      <color theme="1"/>
      <name val="Arial"/>
      <family val="2"/>
    </font>
    <font>
      <sz val="18"/>
      <color theme="1"/>
      <name val="Arial"/>
      <family val="2"/>
    </font>
    <font>
      <b/>
      <sz val="11"/>
      <color theme="1"/>
      <name val="Calibri"/>
      <family val="2"/>
      <scheme val="minor"/>
    </font>
    <font>
      <sz val="14"/>
      <color theme="1"/>
      <name val="Calibri"/>
      <family val="2"/>
      <scheme val="minor"/>
    </font>
    <font>
      <sz val="16"/>
      <color theme="1"/>
      <name val="Calibri"/>
      <family val="2"/>
      <scheme val="minor"/>
    </font>
    <font>
      <b/>
      <sz val="16"/>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1"/>
      <color theme="9" tint="-0.249977111117893"/>
      <name val="Calibri"/>
      <family val="2"/>
      <scheme val="minor"/>
    </font>
    <font>
      <b/>
      <sz val="11"/>
      <color rgb="FFFF0000"/>
      <name val="Calibri"/>
      <family val="2"/>
      <scheme val="minor"/>
    </font>
    <font>
      <b/>
      <sz val="14"/>
      <color theme="1"/>
      <name val="Calibri"/>
      <family val="2"/>
      <scheme val="minor"/>
    </font>
    <font>
      <b/>
      <sz val="10"/>
      <color theme="0"/>
      <name val="Calibri"/>
      <family val="2"/>
      <scheme val="minor"/>
    </font>
    <font>
      <vertAlign val="subscript"/>
      <sz val="12"/>
      <color theme="1"/>
      <name val="Calibri"/>
      <family val="2"/>
      <scheme val="minor"/>
    </font>
    <font>
      <b/>
      <vertAlign val="subscript"/>
      <sz val="12"/>
      <color theme="1"/>
      <name val="Calibri"/>
      <family val="2"/>
      <scheme val="minor"/>
    </font>
    <font>
      <b/>
      <vertAlign val="subscript"/>
      <sz val="11"/>
      <color theme="9" tint="-0.249977111117893"/>
      <name val="Calibri"/>
      <family val="2"/>
      <scheme val="minor"/>
    </font>
    <font>
      <b/>
      <vertAlign val="subscript"/>
      <sz val="11"/>
      <color rgb="FFFF0000"/>
      <name val="Calibri"/>
      <family val="2"/>
      <scheme val="minor"/>
    </font>
    <font>
      <sz val="18"/>
      <color theme="1"/>
      <name val="Calibri"/>
      <family val="2"/>
      <scheme val="minor"/>
    </font>
    <font>
      <sz val="10"/>
      <color theme="1"/>
      <name val="Times New Roman"/>
      <family val="1"/>
    </font>
    <font>
      <sz val="11"/>
      <color theme="1"/>
      <name val="Calibri"/>
      <family val="2"/>
    </font>
    <font>
      <vertAlign val="superscript"/>
      <sz val="10"/>
      <color theme="1"/>
      <name val="Times New Roman"/>
      <family val="1"/>
    </font>
    <font>
      <sz val="11"/>
      <color theme="1"/>
      <name val="Times New Roman"/>
      <family val="1"/>
    </font>
    <font>
      <vertAlign val="subscript"/>
      <sz val="11"/>
      <color theme="1"/>
      <name val="Calibri"/>
      <family val="2"/>
      <scheme val="minor"/>
    </font>
    <font>
      <b/>
      <vertAlign val="subscript"/>
      <sz val="11"/>
      <color theme="1"/>
      <name val="Calibri"/>
      <family val="2"/>
      <scheme val="minor"/>
    </font>
    <font>
      <i/>
      <sz val="11"/>
      <color theme="1"/>
      <name val="Calibri"/>
      <family val="2"/>
      <scheme val="minor"/>
    </font>
    <font>
      <sz val="11"/>
      <color theme="0"/>
      <name val="Arial"/>
      <family val="2"/>
    </font>
    <font>
      <sz val="20"/>
      <color theme="1"/>
      <name val="Calibri"/>
      <family val="2"/>
      <scheme val="minor"/>
    </font>
    <font>
      <sz val="20"/>
      <color theme="4" tint="0.79998168889431442"/>
      <name val="Calibri"/>
      <family val="2"/>
      <scheme val="minor"/>
    </font>
    <font>
      <i/>
      <sz val="10"/>
      <color rgb="FF333333"/>
      <name val="Arial"/>
      <family val="2"/>
    </font>
    <font>
      <sz val="11"/>
      <color rgb="FF333333"/>
      <name val="Calibri"/>
      <family val="2"/>
      <scheme val="minor"/>
    </font>
    <font>
      <i/>
      <sz val="18"/>
      <color theme="1"/>
      <name val="Calibri"/>
      <family val="2"/>
      <scheme val="minor"/>
    </font>
    <font>
      <sz val="11"/>
      <color theme="0"/>
      <name val="Calibri"/>
      <family val="2"/>
      <scheme val="minor"/>
    </font>
    <font>
      <sz val="11"/>
      <color rgb="FF000000"/>
      <name val="Times New Roman"/>
      <family val="1"/>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s>
  <borders count="61">
    <border>
      <left/>
      <right/>
      <top/>
      <bottom/>
      <diagonal/>
    </border>
    <border>
      <left/>
      <right/>
      <top/>
      <bottom style="thin">
        <color theme="0" tint="-0.14996795556505021"/>
      </bottom>
      <diagonal/>
    </border>
    <border>
      <left/>
      <right/>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3743705557422"/>
      </top>
      <bottom/>
      <diagonal/>
    </border>
    <border>
      <left/>
      <right/>
      <top style="thin">
        <color theme="0" tint="-0.1499679555650502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style="thin">
        <color theme="0" tint="-0.14996795556505021"/>
      </left>
      <right/>
      <top/>
      <bottom style="thin">
        <color theme="0" tint="-0.14993743705557422"/>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right style="thin">
        <color theme="0" tint="-0.14993743705557422"/>
      </right>
      <top style="thin">
        <color theme="0" tint="-0.14996795556505021"/>
      </top>
      <bottom/>
      <diagonal/>
    </border>
    <border>
      <left/>
      <right/>
      <top style="thin">
        <color auto="1"/>
      </top>
      <bottom style="thin">
        <color theme="0" tint="-0.14996795556505021"/>
      </bottom>
      <diagonal/>
    </border>
    <border>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0691854609822"/>
      </left>
      <right/>
      <top/>
      <bottom style="thin">
        <color theme="0" tint="-0.14990691854609822"/>
      </bottom>
      <diagonal/>
    </border>
    <border>
      <left/>
      <right style="thin">
        <color theme="0" tint="-0.14990691854609822"/>
      </right>
      <top/>
      <bottom style="thin">
        <color theme="0" tint="-0.14990691854609822"/>
      </bottom>
      <diagonal/>
    </border>
    <border>
      <left style="thin">
        <color theme="0" tint="-0.1498764000366222"/>
      </left>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right style="thin">
        <color theme="0" tint="-0.14996795556505021"/>
      </right>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8764000366222"/>
      </right>
      <top/>
      <bottom/>
      <diagonal/>
    </border>
    <border>
      <left style="thin">
        <color theme="0" tint="-0.14993743705557422"/>
      </left>
      <right style="thin">
        <color theme="0" tint="-0.14993743705557422"/>
      </right>
      <top/>
      <bottom/>
      <diagonal/>
    </border>
    <border>
      <left style="thin">
        <color theme="0" tint="-0.14996795556505021"/>
      </left>
      <right style="thin">
        <color theme="0" tint="-0.14996795556505021"/>
      </right>
      <top/>
      <bottom/>
      <diagonal/>
    </border>
    <border>
      <left/>
      <right/>
      <top/>
      <bottom style="thick">
        <color indexed="64"/>
      </bottom>
      <diagonal/>
    </border>
    <border>
      <left style="thin">
        <color theme="0" tint="-0.14993743705557422"/>
      </left>
      <right style="thin">
        <color theme="0" tint="-0.14993743705557422"/>
      </right>
      <top/>
      <bottom style="thin">
        <color theme="0" tint="-0.14993743705557422"/>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top style="thin">
        <color theme="0" tint="-0.14990691854609822"/>
      </top>
      <bottom/>
      <diagonal/>
    </border>
    <border>
      <left style="thin">
        <color theme="0" tint="-0.14996795556505021"/>
      </left>
      <right style="thin">
        <color theme="0" tint="-0.14996795556505021"/>
      </right>
      <top style="thin">
        <color theme="0" tint="-0.14990691854609822"/>
      </top>
      <bottom style="thin">
        <color theme="0" tint="-0.14996795556505021"/>
      </bottom>
      <diagonal/>
    </border>
    <border>
      <left/>
      <right style="thin">
        <color theme="0" tint="-0.14990691854609822"/>
      </right>
      <top style="thin">
        <color theme="0" tint="-0.14990691854609822"/>
      </top>
      <bottom/>
      <diagonal/>
    </border>
    <border>
      <left/>
      <right/>
      <top/>
      <bottom style="thin">
        <color theme="0" tint="-0.14990691854609822"/>
      </bottom>
      <diagonal/>
    </border>
    <border>
      <left style="thin">
        <color theme="0" tint="-0.14996795556505021"/>
      </left>
      <right style="thin">
        <color theme="0" tint="-0.14993743705557422"/>
      </right>
      <top style="thin">
        <color theme="0" tint="-0.14990691854609822"/>
      </top>
      <bottom/>
      <diagonal/>
    </border>
    <border>
      <left style="thin">
        <color theme="0" tint="-0.14993743705557422"/>
      </left>
      <right style="thin">
        <color theme="0" tint="-0.14996795556505021"/>
      </right>
      <top style="thin">
        <color theme="0" tint="-0.14990691854609822"/>
      </top>
      <bottom/>
      <diagonal/>
    </border>
    <border>
      <left style="thin">
        <color theme="0" tint="-0.14993743705557422"/>
      </left>
      <right style="thin">
        <color theme="0" tint="-0.14996795556505021"/>
      </right>
      <top style="thin">
        <color theme="0" tint="-0.14996795556505021"/>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6795556505021"/>
      </right>
      <top/>
      <bottom/>
      <diagonal/>
    </border>
    <border>
      <left style="thin">
        <color theme="0" tint="-0.14996795556505021"/>
      </left>
      <right style="thin">
        <color theme="0" tint="-0.14993743705557422"/>
      </right>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s>
  <cellStyleXfs count="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92">
    <xf numFmtId="0" fontId="0" fillId="0" borderId="0" xfId="0"/>
    <xf numFmtId="49" fontId="0" fillId="4" borderId="0" xfId="0" applyNumberFormat="1" applyFill="1" applyAlignment="1" applyProtection="1">
      <alignment horizontal="center" vertical="center" wrapText="1"/>
      <protection hidden="1"/>
    </xf>
    <xf numFmtId="0" fontId="0" fillId="2" borderId="0" xfId="0" applyFill="1" applyProtection="1">
      <protection hidden="1"/>
    </xf>
    <xf numFmtId="0" fontId="0" fillId="5" borderId="0" xfId="0" applyFill="1" applyProtection="1">
      <protection hidden="1"/>
    </xf>
    <xf numFmtId="0" fontId="0" fillId="3" borderId="0" xfId="0" applyFill="1" applyAlignment="1" applyProtection="1">
      <alignment horizontal="center"/>
      <protection hidden="1"/>
    </xf>
    <xf numFmtId="0" fontId="5" fillId="2" borderId="0" xfId="0" applyFont="1" applyFill="1" applyProtection="1">
      <protection hidden="1"/>
    </xf>
    <xf numFmtId="4" fontId="6" fillId="2" borderId="0" xfId="0" applyNumberFormat="1" applyFont="1" applyFill="1" applyAlignment="1" applyProtection="1">
      <alignment horizontal="center"/>
      <protection hidden="1"/>
    </xf>
    <xf numFmtId="0" fontId="0" fillId="2" borderId="10" xfId="0" applyFill="1" applyBorder="1" applyProtection="1">
      <protection hidden="1"/>
    </xf>
    <xf numFmtId="0" fontId="0" fillId="2" borderId="6" xfId="0" applyFill="1" applyBorder="1" applyProtection="1">
      <protection hidden="1"/>
    </xf>
    <xf numFmtId="0" fontId="0" fillId="2" borderId="0" xfId="0" applyFill="1" applyAlignment="1" applyProtection="1">
      <alignment vertical="center"/>
      <protection hidden="1"/>
    </xf>
    <xf numFmtId="0" fontId="10" fillId="2" borderId="0" xfId="0" applyFont="1" applyFill="1" applyAlignment="1" applyProtection="1">
      <alignment horizontal="left" vertical="center"/>
      <protection hidden="1"/>
    </xf>
    <xf numFmtId="4" fontId="9" fillId="2" borderId="0" xfId="0" applyNumberFormat="1" applyFont="1" applyFill="1" applyAlignment="1" applyProtection="1">
      <alignment horizontal="center" vertical="center"/>
      <protection hidden="1"/>
    </xf>
    <xf numFmtId="0" fontId="11" fillId="2" borderId="0" xfId="0" applyFont="1" applyFill="1" applyAlignment="1" applyProtection="1">
      <alignment vertical="center"/>
      <protection hidden="1"/>
    </xf>
    <xf numFmtId="2" fontId="15" fillId="2" borderId="0" xfId="0" applyNumberFormat="1" applyFont="1" applyFill="1" applyAlignment="1" applyProtection="1">
      <alignment horizontal="right" vertical="center"/>
      <protection hidden="1"/>
    </xf>
    <xf numFmtId="0" fontId="15" fillId="4" borderId="13" xfId="0" applyFont="1" applyFill="1" applyBorder="1" applyAlignment="1" applyProtection="1">
      <alignment vertical="center"/>
      <protection hidden="1"/>
    </xf>
    <xf numFmtId="4" fontId="15" fillId="4" borderId="13" xfId="0" applyNumberFormat="1" applyFont="1" applyFill="1" applyBorder="1" applyAlignment="1" applyProtection="1">
      <alignment horizontal="left" vertical="center"/>
      <protection hidden="1"/>
    </xf>
    <xf numFmtId="0" fontId="15" fillId="2" borderId="0" xfId="0" applyFont="1" applyFill="1" applyAlignment="1" applyProtection="1">
      <alignment vertical="center"/>
      <protection hidden="1"/>
    </xf>
    <xf numFmtId="0" fontId="15" fillId="4" borderId="16" xfId="0" applyFont="1" applyFill="1" applyBorder="1" applyAlignment="1" applyProtection="1">
      <alignment vertical="center"/>
      <protection hidden="1"/>
    </xf>
    <xf numFmtId="0" fontId="14" fillId="4" borderId="19" xfId="0" applyFont="1" applyFill="1" applyBorder="1" applyAlignment="1" applyProtection="1">
      <alignment vertical="center"/>
      <protection hidden="1"/>
    </xf>
    <xf numFmtId="0" fontId="13" fillId="4" borderId="19" xfId="0" applyFont="1" applyFill="1" applyBorder="1" applyAlignment="1" applyProtection="1">
      <alignment horizontal="center"/>
      <protection hidden="1"/>
    </xf>
    <xf numFmtId="0" fontId="0" fillId="2" borderId="0" xfId="0" applyFill="1" applyAlignment="1" applyProtection="1">
      <alignment horizontal="center" vertical="center"/>
      <protection hidden="1"/>
    </xf>
    <xf numFmtId="4" fontId="0" fillId="2" borderId="0" xfId="0" applyNumberFormat="1" applyFill="1" applyAlignment="1" applyProtection="1">
      <alignment horizontal="center" vertical="center"/>
      <protection hidden="1"/>
    </xf>
    <xf numFmtId="4" fontId="0" fillId="2" borderId="0" xfId="0" applyNumberFormat="1" applyFill="1" applyAlignment="1" applyProtection="1">
      <alignment horizontal="center"/>
      <protection hidden="1"/>
    </xf>
    <xf numFmtId="0" fontId="9" fillId="2" borderId="0" xfId="0" applyFont="1" applyFill="1" applyAlignment="1" applyProtection="1">
      <alignment horizontal="center" vertical="center"/>
      <protection hidden="1"/>
    </xf>
    <xf numFmtId="4" fontId="9" fillId="2" borderId="0" xfId="0" applyNumberFormat="1" applyFont="1" applyFill="1" applyAlignment="1" applyProtection="1">
      <alignment horizontal="center"/>
      <protection hidden="1"/>
    </xf>
    <xf numFmtId="4" fontId="0" fillId="4" borderId="0" xfId="0" applyNumberFormat="1" applyFill="1" applyAlignment="1" applyProtection="1">
      <alignment horizontal="center"/>
      <protection hidden="1"/>
    </xf>
    <xf numFmtId="0" fontId="0" fillId="4" borderId="0" xfId="0" applyFill="1" applyProtection="1">
      <protection hidden="1"/>
    </xf>
    <xf numFmtId="4" fontId="9" fillId="4" borderId="0" xfId="0" applyNumberFormat="1" applyFont="1" applyFill="1" applyAlignment="1" applyProtection="1">
      <alignment horizontal="center" vertical="center"/>
      <protection hidden="1"/>
    </xf>
    <xf numFmtId="0" fontId="9" fillId="4" borderId="0" xfId="0" applyFont="1" applyFill="1" applyAlignment="1" applyProtection="1">
      <alignment horizontal="center" vertical="center"/>
      <protection hidden="1"/>
    </xf>
    <xf numFmtId="4" fontId="9" fillId="4" borderId="0" xfId="0" applyNumberFormat="1" applyFont="1" applyFill="1" applyAlignment="1" applyProtection="1">
      <alignment horizontal="center"/>
      <protection hidden="1"/>
    </xf>
    <xf numFmtId="0" fontId="13" fillId="2" borderId="5" xfId="0" applyFont="1" applyFill="1" applyBorder="1" applyAlignment="1" applyProtection="1">
      <alignment horizontal="center"/>
      <protection hidden="1"/>
    </xf>
    <xf numFmtId="0" fontId="16" fillId="2" borderId="5" xfId="0" applyFont="1" applyFill="1" applyBorder="1" applyAlignment="1" applyProtection="1">
      <alignment horizontal="left" vertical="center"/>
      <protection hidden="1"/>
    </xf>
    <xf numFmtId="0" fontId="17" fillId="2" borderId="25" xfId="0" applyFont="1" applyFill="1" applyBorder="1" applyAlignment="1" applyProtection="1">
      <alignment horizontal="right" vertical="center"/>
      <protection hidden="1"/>
    </xf>
    <xf numFmtId="0" fontId="10" fillId="2" borderId="0" xfId="0" applyFont="1" applyFill="1" applyProtection="1">
      <protection hidden="1"/>
    </xf>
    <xf numFmtId="0" fontId="16" fillId="2" borderId="0" xfId="0" applyFont="1" applyFill="1" applyAlignment="1" applyProtection="1">
      <alignment horizontal="left" vertical="center"/>
      <protection hidden="1"/>
    </xf>
    <xf numFmtId="0" fontId="17" fillId="2" borderId="20" xfId="0" applyFont="1" applyFill="1" applyBorder="1" applyAlignment="1" applyProtection="1">
      <alignment horizontal="right" vertical="center"/>
      <protection hidden="1"/>
    </xf>
    <xf numFmtId="0" fontId="0" fillId="4" borderId="14" xfId="0" applyFill="1" applyBorder="1" applyProtection="1">
      <protection hidden="1"/>
    </xf>
    <xf numFmtId="0" fontId="0" fillId="4" borderId="1" xfId="0" applyFill="1" applyBorder="1" applyProtection="1">
      <protection hidden="1"/>
    </xf>
    <xf numFmtId="4" fontId="0" fillId="4" borderId="1" xfId="0" applyNumberFormat="1" applyFill="1" applyBorder="1" applyAlignment="1" applyProtection="1">
      <alignment horizontal="center"/>
      <protection hidden="1"/>
    </xf>
    <xf numFmtId="4" fontId="0" fillId="4" borderId="1"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vertical="center"/>
      <protection hidden="1"/>
    </xf>
    <xf numFmtId="0" fontId="9" fillId="4" borderId="1" xfId="0" applyFont="1" applyFill="1" applyBorder="1" applyAlignment="1" applyProtection="1">
      <alignment horizontal="center" vertical="center"/>
      <protection hidden="1"/>
    </xf>
    <xf numFmtId="4" fontId="9" fillId="4" borderId="1" xfId="0" applyNumberFormat="1" applyFont="1" applyFill="1" applyBorder="1" applyAlignment="1" applyProtection="1">
      <alignment horizontal="center"/>
      <protection hidden="1"/>
    </xf>
    <xf numFmtId="0" fontId="0" fillId="4" borderId="33" xfId="0" applyFill="1" applyBorder="1" applyProtection="1">
      <protection hidden="1"/>
    </xf>
    <xf numFmtId="4" fontId="9" fillId="2" borderId="36" xfId="0" applyNumberFormat="1" applyFont="1" applyFill="1" applyBorder="1" applyAlignment="1" applyProtection="1">
      <alignment horizontal="center"/>
      <protection hidden="1"/>
    </xf>
    <xf numFmtId="0" fontId="5" fillId="2" borderId="0" xfId="0" applyFont="1" applyFill="1" applyAlignment="1" applyProtection="1">
      <alignment horizontal="center" vertical="center"/>
      <protection hidden="1"/>
    </xf>
    <xf numFmtId="0" fontId="11" fillId="2" borderId="0" xfId="0" applyFont="1" applyFill="1" applyAlignment="1" applyProtection="1">
      <alignment horizontal="center" vertical="center"/>
      <protection hidden="1"/>
    </xf>
    <xf numFmtId="4" fontId="11" fillId="2" borderId="0" xfId="0" applyNumberFormat="1" applyFont="1" applyFill="1" applyAlignment="1" applyProtection="1">
      <alignment horizontal="center" vertical="center"/>
      <protection hidden="1"/>
    </xf>
    <xf numFmtId="0" fontId="11" fillId="2" borderId="20" xfId="0" applyFont="1" applyFill="1" applyBorder="1" applyAlignment="1" applyProtection="1">
      <alignment vertical="center"/>
      <protection hidden="1"/>
    </xf>
    <xf numFmtId="4" fontId="11" fillId="2" borderId="0" xfId="0" applyNumberFormat="1" applyFont="1" applyFill="1" applyAlignment="1" applyProtection="1">
      <alignment horizontal="left" vertical="center"/>
      <protection hidden="1"/>
    </xf>
    <xf numFmtId="4" fontId="9" fillId="2" borderId="0" xfId="0" applyNumberFormat="1" applyFont="1" applyFill="1" applyAlignment="1" applyProtection="1">
      <alignment horizontal="left" vertical="center"/>
      <protection hidden="1"/>
    </xf>
    <xf numFmtId="4" fontId="12" fillId="2" borderId="0" xfId="0" applyNumberFormat="1" applyFont="1" applyFill="1" applyAlignment="1" applyProtection="1">
      <alignment horizontal="left" vertical="center"/>
      <protection hidden="1"/>
    </xf>
    <xf numFmtId="0" fontId="12" fillId="2" borderId="0" xfId="0" applyFont="1" applyFill="1" applyAlignment="1" applyProtection="1">
      <alignment horizontal="left" vertical="center"/>
      <protection hidden="1"/>
    </xf>
    <xf numFmtId="4" fontId="12" fillId="2" borderId="0" xfId="0" applyNumberFormat="1" applyFont="1" applyFill="1" applyAlignment="1" applyProtection="1">
      <alignment horizontal="center" vertical="center"/>
      <protection hidden="1"/>
    </xf>
    <xf numFmtId="4" fontId="12" fillId="2" borderId="20" xfId="0" applyNumberFormat="1" applyFont="1" applyFill="1" applyBorder="1" applyAlignment="1" applyProtection="1">
      <alignment horizontal="center" vertical="center"/>
      <protection hidden="1"/>
    </xf>
    <xf numFmtId="0" fontId="11" fillId="2" borderId="2" xfId="0" applyFont="1" applyFill="1" applyBorder="1" applyAlignment="1" applyProtection="1">
      <alignment vertical="center"/>
      <protection hidden="1"/>
    </xf>
    <xf numFmtId="0" fontId="9" fillId="2" borderId="2" xfId="0" applyFont="1" applyFill="1" applyBorder="1" applyAlignment="1" applyProtection="1">
      <alignment vertical="center"/>
      <protection hidden="1"/>
    </xf>
    <xf numFmtId="0" fontId="12" fillId="2" borderId="2" xfId="0" applyFont="1" applyFill="1" applyBorder="1" applyAlignment="1" applyProtection="1">
      <alignment vertical="center"/>
      <protection hidden="1"/>
    </xf>
    <xf numFmtId="0" fontId="18" fillId="2" borderId="2" xfId="0" applyFont="1" applyFill="1" applyBorder="1" applyAlignment="1" applyProtection="1">
      <alignment horizontal="left" vertical="center"/>
      <protection hidden="1"/>
    </xf>
    <xf numFmtId="4" fontId="9" fillId="2" borderId="2" xfId="0" applyNumberFormat="1" applyFont="1" applyFill="1" applyBorder="1" applyAlignment="1" applyProtection="1">
      <alignment horizontal="center" vertical="center"/>
      <protection hidden="1"/>
    </xf>
    <xf numFmtId="4" fontId="9" fillId="2" borderId="22" xfId="0" applyNumberFormat="1" applyFont="1" applyFill="1" applyBorder="1" applyAlignment="1" applyProtection="1">
      <alignment horizontal="center" vertical="center"/>
      <protection hidden="1"/>
    </xf>
    <xf numFmtId="0" fontId="0" fillId="2" borderId="34" xfId="0" applyFill="1" applyBorder="1" applyAlignment="1" applyProtection="1">
      <alignment horizontal="center" vertical="center"/>
      <protection hidden="1"/>
    </xf>
    <xf numFmtId="0" fontId="0" fillId="4" borderId="12" xfId="0" applyFill="1" applyBorder="1" applyAlignment="1" applyProtection="1">
      <alignment horizontal="center" vertical="center"/>
      <protection hidden="1"/>
    </xf>
    <xf numFmtId="0" fontId="7" fillId="2" borderId="0" xfId="0" applyFont="1" applyFill="1" applyAlignment="1" applyProtection="1">
      <alignment horizontal="left" vertical="center"/>
      <protection hidden="1"/>
    </xf>
    <xf numFmtId="0" fontId="14" fillId="4" borderId="13" xfId="0" applyFont="1" applyFill="1" applyBorder="1" applyAlignment="1" applyProtection="1">
      <alignment vertical="center"/>
      <protection hidden="1"/>
    </xf>
    <xf numFmtId="0" fontId="0" fillId="7" borderId="28" xfId="0" applyFill="1" applyBorder="1" applyAlignment="1" applyProtection="1">
      <alignment horizontal="center" vertical="center"/>
      <protection locked="0" hidden="1"/>
    </xf>
    <xf numFmtId="0" fontId="0" fillId="4" borderId="0" xfId="0" applyFill="1" applyAlignment="1" applyProtection="1">
      <alignment vertical="center"/>
      <protection hidden="1"/>
    </xf>
    <xf numFmtId="0" fontId="0" fillId="4" borderId="38" xfId="0" applyFill="1" applyBorder="1" applyAlignment="1" applyProtection="1">
      <alignment vertical="center"/>
      <protection hidden="1"/>
    </xf>
    <xf numFmtId="0" fontId="0" fillId="4" borderId="38" xfId="0" applyFill="1" applyBorder="1" applyProtection="1">
      <protection hidden="1"/>
    </xf>
    <xf numFmtId="4" fontId="5" fillId="2" borderId="0" xfId="0" applyNumberFormat="1" applyFont="1" applyFill="1" applyAlignment="1" applyProtection="1">
      <alignment horizontal="center"/>
      <protection hidden="1"/>
    </xf>
    <xf numFmtId="0" fontId="17" fillId="2" borderId="0" xfId="0" applyFont="1" applyFill="1" applyAlignment="1" applyProtection="1">
      <alignment horizontal="right" vertical="center"/>
      <protection hidden="1"/>
    </xf>
    <xf numFmtId="0" fontId="10" fillId="2" borderId="13" xfId="0" applyFont="1" applyFill="1" applyBorder="1" applyProtection="1">
      <protection hidden="1"/>
    </xf>
    <xf numFmtId="0" fontId="17" fillId="2" borderId="14" xfId="0" applyFont="1" applyFill="1" applyBorder="1" applyAlignment="1" applyProtection="1">
      <alignment horizontal="right" vertical="center"/>
      <protection hidden="1"/>
    </xf>
    <xf numFmtId="0" fontId="13" fillId="2" borderId="13" xfId="0" applyFont="1" applyFill="1" applyBorder="1" applyAlignment="1" applyProtection="1">
      <alignment horizontal="center"/>
      <protection hidden="1"/>
    </xf>
    <xf numFmtId="49" fontId="5" fillId="2" borderId="0" xfId="0" applyNumberFormat="1" applyFont="1" applyFill="1" applyAlignment="1" applyProtection="1">
      <alignment horizontal="center" vertical="center" wrapText="1"/>
      <protection hidden="1"/>
    </xf>
    <xf numFmtId="0" fontId="8" fillId="2" borderId="0" xfId="0" applyFont="1" applyFill="1" applyAlignment="1" applyProtection="1">
      <alignment horizontal="left" vertical="center"/>
      <protection hidden="1"/>
    </xf>
    <xf numFmtId="0" fontId="0" fillId="2" borderId="0" xfId="0" applyFill="1"/>
    <xf numFmtId="0" fontId="0" fillId="0" borderId="0" xfId="0" applyProtection="1">
      <protection hidden="1"/>
    </xf>
    <xf numFmtId="0" fontId="0" fillId="7" borderId="35" xfId="0" applyFill="1" applyBorder="1" applyAlignment="1" applyProtection="1">
      <alignment horizontal="center"/>
      <protection locked="0" hidden="1"/>
    </xf>
    <xf numFmtId="0" fontId="0" fillId="7" borderId="44" xfId="0" applyFill="1" applyBorder="1" applyAlignment="1" applyProtection="1">
      <alignment horizontal="center"/>
      <protection locked="0" hidden="1"/>
    </xf>
    <xf numFmtId="0" fontId="0" fillId="2" borderId="46" xfId="0" applyFill="1" applyBorder="1" applyAlignment="1" applyProtection="1">
      <alignment horizontal="center" vertical="center"/>
      <protection hidden="1"/>
    </xf>
    <xf numFmtId="0" fontId="0" fillId="7" borderId="47" xfId="0" applyFill="1" applyBorder="1" applyAlignment="1" applyProtection="1">
      <alignment horizontal="center" vertical="center"/>
      <protection locked="0" hidden="1"/>
    </xf>
    <xf numFmtId="0" fontId="0" fillId="7" borderId="48" xfId="0" applyFill="1" applyBorder="1" applyAlignment="1" applyProtection="1">
      <alignment horizontal="center" vertical="center"/>
      <protection locked="0" hidden="1"/>
    </xf>
    <xf numFmtId="0" fontId="0" fillId="7" borderId="49" xfId="0" applyFill="1" applyBorder="1" applyAlignment="1" applyProtection="1">
      <alignment horizontal="center" vertical="center"/>
      <protection locked="0" hidden="1"/>
    </xf>
    <xf numFmtId="4" fontId="9" fillId="2" borderId="0" xfId="0" applyNumberFormat="1" applyFont="1" applyFill="1" applyAlignment="1" applyProtection="1">
      <alignment horizontal="left" vertical="center" indent="2"/>
      <protection hidden="1"/>
    </xf>
    <xf numFmtId="0" fontId="9" fillId="2" borderId="2" xfId="0" applyFont="1" applyFill="1" applyBorder="1" applyAlignment="1" applyProtection="1">
      <alignment horizontal="left" vertical="center" indent="2"/>
      <protection hidden="1"/>
    </xf>
    <xf numFmtId="0" fontId="0" fillId="0" borderId="6" xfId="0" applyBorder="1" applyProtection="1">
      <protection hidden="1"/>
    </xf>
    <xf numFmtId="0" fontId="0" fillId="0" borderId="10" xfId="0" applyBorder="1" applyProtection="1">
      <protection hidden="1"/>
    </xf>
    <xf numFmtId="0" fontId="0" fillId="0" borderId="6" xfId="0" applyBorder="1" applyAlignment="1" applyProtection="1">
      <alignment wrapText="1"/>
      <protection hidden="1"/>
    </xf>
    <xf numFmtId="49" fontId="0" fillId="0" borderId="6" xfId="0" applyNumberFormat="1" applyBorder="1" applyAlignment="1" applyProtection="1">
      <alignment horizontal="right" wrapText="1"/>
      <protection hidden="1"/>
    </xf>
    <xf numFmtId="0" fontId="0" fillId="0" borderId="6" xfId="0" applyBorder="1" applyAlignment="1" applyProtection="1">
      <alignment horizontal="right" wrapText="1"/>
      <protection hidden="1"/>
    </xf>
    <xf numFmtId="0" fontId="0" fillId="0" borderId="10" xfId="0" applyBorder="1" applyAlignment="1" applyProtection="1">
      <alignment vertical="center" wrapText="1"/>
      <protection hidden="1"/>
    </xf>
    <xf numFmtId="0" fontId="0" fillId="0" borderId="6" xfId="0" applyBorder="1" applyAlignment="1" applyProtection="1">
      <alignment horizontal="right"/>
      <protection hidden="1"/>
    </xf>
    <xf numFmtId="0" fontId="0" fillId="2" borderId="6" xfId="0" applyFill="1" applyBorder="1" applyAlignment="1" applyProtection="1">
      <alignment horizontal="left" vertical="top" wrapText="1"/>
      <protection hidden="1"/>
    </xf>
    <xf numFmtId="49" fontId="0" fillId="2" borderId="6" xfId="0" applyNumberFormat="1" applyFill="1" applyBorder="1" applyAlignment="1" applyProtection="1">
      <alignment horizontal="right" wrapText="1"/>
      <protection hidden="1"/>
    </xf>
    <xf numFmtId="0" fontId="0" fillId="2" borderId="6" xfId="0" applyFill="1" applyBorder="1" applyAlignment="1" applyProtection="1">
      <alignment wrapText="1"/>
      <protection hidden="1"/>
    </xf>
    <xf numFmtId="0" fontId="0" fillId="2" borderId="10" xfId="0" applyFill="1" applyBorder="1" applyAlignment="1" applyProtection="1">
      <alignment horizontal="left" vertical="top" wrapText="1"/>
      <protection hidden="1"/>
    </xf>
    <xf numFmtId="49" fontId="0" fillId="2" borderId="10" xfId="0" applyNumberFormat="1" applyFill="1" applyBorder="1" applyAlignment="1" applyProtection="1">
      <alignment horizontal="right" wrapText="1"/>
      <protection hidden="1"/>
    </xf>
    <xf numFmtId="0" fontId="0" fillId="2" borderId="10" xfId="0" applyFill="1" applyBorder="1" applyAlignment="1" applyProtection="1">
      <alignment wrapText="1"/>
      <protection hidden="1"/>
    </xf>
    <xf numFmtId="0" fontId="0" fillId="0" borderId="6" xfId="0" applyBorder="1" applyAlignment="1" applyProtection="1">
      <alignment horizontal="right" vertical="top" wrapText="1"/>
      <protection hidden="1"/>
    </xf>
    <xf numFmtId="0" fontId="0" fillId="2" borderId="10" xfId="0" applyFill="1" applyBorder="1" applyAlignment="1" applyProtection="1">
      <alignment vertical="center"/>
      <protection hidden="1"/>
    </xf>
    <xf numFmtId="0" fontId="0" fillId="2" borderId="10" xfId="0" applyFill="1" applyBorder="1" applyAlignment="1" applyProtection="1">
      <alignment vertical="center" wrapText="1"/>
      <protection hidden="1"/>
    </xf>
    <xf numFmtId="0" fontId="0" fillId="2" borderId="9" xfId="0" applyFill="1" applyBorder="1" applyProtection="1">
      <protection hidden="1"/>
    </xf>
    <xf numFmtId="0" fontId="0" fillId="0" borderId="8" xfId="0" applyBorder="1" applyAlignment="1" applyProtection="1">
      <alignment wrapText="1"/>
      <protection hidden="1"/>
    </xf>
    <xf numFmtId="49" fontId="0" fillId="2" borderId="9" xfId="0" applyNumberFormat="1" applyFill="1" applyBorder="1" applyAlignment="1" applyProtection="1">
      <alignment horizontal="right" wrapText="1"/>
      <protection hidden="1"/>
    </xf>
    <xf numFmtId="0" fontId="1" fillId="2" borderId="6" xfId="0" applyFont="1" applyFill="1" applyBorder="1" applyAlignment="1" applyProtection="1">
      <alignment vertical="top" wrapText="1"/>
      <protection hidden="1"/>
    </xf>
    <xf numFmtId="0" fontId="1" fillId="2" borderId="10" xfId="0" applyFont="1" applyFill="1" applyBorder="1" applyAlignment="1" applyProtection="1">
      <alignment vertical="top" wrapText="1"/>
      <protection hidden="1"/>
    </xf>
    <xf numFmtId="0" fontId="1" fillId="2" borderId="6" xfId="0" applyFont="1" applyFill="1" applyBorder="1" applyAlignment="1" applyProtection="1">
      <alignment horizontal="left" vertical="top" wrapText="1"/>
      <protection hidden="1"/>
    </xf>
    <xf numFmtId="0" fontId="1" fillId="2" borderId="10" xfId="0" applyFont="1" applyFill="1" applyBorder="1" applyAlignment="1" applyProtection="1">
      <alignment horizontal="left" vertical="top" wrapText="1"/>
      <protection hidden="1"/>
    </xf>
    <xf numFmtId="0" fontId="0" fillId="2" borderId="6" xfId="0" applyFill="1" applyBorder="1" applyAlignment="1" applyProtection="1">
      <alignment horizontal="left" vertical="center" wrapText="1"/>
      <protection hidden="1"/>
    </xf>
    <xf numFmtId="49" fontId="0" fillId="2" borderId="6" xfId="0" applyNumberFormat="1" applyFill="1" applyBorder="1" applyAlignment="1" applyProtection="1">
      <alignment horizontal="right" vertical="center" wrapText="1"/>
      <protection hidden="1"/>
    </xf>
    <xf numFmtId="0" fontId="0" fillId="2" borderId="6" xfId="0" applyFill="1" applyBorder="1" applyAlignment="1" applyProtection="1">
      <alignment vertical="center" wrapText="1"/>
      <protection hidden="1"/>
    </xf>
    <xf numFmtId="0" fontId="0" fillId="2" borderId="10" xfId="0" applyFill="1" applyBorder="1" applyAlignment="1" applyProtection="1">
      <alignment horizontal="left" vertical="center" wrapText="1"/>
      <protection hidden="1"/>
    </xf>
    <xf numFmtId="49" fontId="0" fillId="2" borderId="10" xfId="0" applyNumberFormat="1" applyFill="1" applyBorder="1" applyAlignment="1" applyProtection="1">
      <alignment horizontal="right" vertical="center" wrapText="1"/>
      <protection hidden="1"/>
    </xf>
    <xf numFmtId="0" fontId="0" fillId="2" borderId="0" xfId="0" applyFill="1" applyAlignment="1" applyProtection="1">
      <alignment horizontal="left" vertical="top" wrapText="1"/>
      <protection hidden="1"/>
    </xf>
    <xf numFmtId="0" fontId="0" fillId="4" borderId="17" xfId="0" applyFill="1" applyBorder="1" applyProtection="1">
      <protection hidden="1"/>
    </xf>
    <xf numFmtId="0" fontId="24" fillId="4" borderId="4" xfId="0" applyFont="1" applyFill="1" applyBorder="1" applyAlignment="1" applyProtection="1">
      <alignment horizontal="center"/>
      <protection hidden="1"/>
    </xf>
    <xf numFmtId="0" fontId="0" fillId="4" borderId="18" xfId="0" applyFill="1" applyBorder="1" applyProtection="1">
      <protection hidden="1"/>
    </xf>
    <xf numFmtId="0" fontId="0" fillId="4" borderId="19" xfId="0" applyFill="1" applyBorder="1" applyAlignment="1" applyProtection="1">
      <alignment horizontal="left" indent="1"/>
      <protection hidden="1"/>
    </xf>
    <xf numFmtId="0" fontId="0" fillId="4" borderId="20" xfId="0" applyFill="1" applyBorder="1" applyProtection="1">
      <protection hidden="1"/>
    </xf>
    <xf numFmtId="0" fontId="9" fillId="4" borderId="50" xfId="0" applyFont="1" applyFill="1" applyBorder="1" applyAlignment="1" applyProtection="1">
      <alignment horizontal="left" indent="1"/>
      <protection hidden="1"/>
    </xf>
    <xf numFmtId="0" fontId="9" fillId="4" borderId="52" xfId="0" applyFont="1" applyFill="1" applyBorder="1" applyAlignment="1" applyProtection="1">
      <alignment horizontal="center"/>
      <protection hidden="1"/>
    </xf>
    <xf numFmtId="0" fontId="0" fillId="4" borderId="29" xfId="0" applyFill="1" applyBorder="1" applyProtection="1">
      <protection hidden="1"/>
    </xf>
    <xf numFmtId="0" fontId="0" fillId="4" borderId="53" xfId="0" applyFill="1" applyBorder="1" applyProtection="1">
      <protection hidden="1"/>
    </xf>
    <xf numFmtId="0" fontId="0" fillId="4" borderId="30" xfId="0" applyFill="1" applyBorder="1" applyProtection="1">
      <protection hidden="1"/>
    </xf>
    <xf numFmtId="0" fontId="0" fillId="4" borderId="11" xfId="0" applyFill="1" applyBorder="1" applyProtection="1">
      <protection hidden="1"/>
    </xf>
    <xf numFmtId="0" fontId="24" fillId="4" borderId="5" xfId="0" applyFont="1" applyFill="1" applyBorder="1" applyAlignment="1" applyProtection="1">
      <alignment horizontal="center"/>
      <protection hidden="1"/>
    </xf>
    <xf numFmtId="0" fontId="0" fillId="4" borderId="12" xfId="0" applyFill="1" applyBorder="1" applyProtection="1">
      <protection hidden="1"/>
    </xf>
    <xf numFmtId="0" fontId="0" fillId="4" borderId="13" xfId="0" applyFill="1" applyBorder="1" applyAlignment="1" applyProtection="1">
      <alignment horizontal="left" indent="1"/>
      <protection hidden="1"/>
    </xf>
    <xf numFmtId="0" fontId="9" fillId="4" borderId="54" xfId="0" applyFont="1" applyFill="1" applyBorder="1" applyAlignment="1" applyProtection="1">
      <alignment horizontal="left" indent="1"/>
      <protection hidden="1"/>
    </xf>
    <xf numFmtId="0" fontId="9" fillId="4" borderId="55" xfId="0" applyFont="1" applyFill="1" applyBorder="1" applyAlignment="1" applyProtection="1">
      <alignment horizontal="center"/>
      <protection hidden="1"/>
    </xf>
    <xf numFmtId="0" fontId="0" fillId="4" borderId="15" xfId="0" applyFill="1" applyBorder="1" applyProtection="1">
      <protection hidden="1"/>
    </xf>
    <xf numFmtId="0" fontId="0" fillId="4" borderId="14" xfId="0" applyFill="1" applyBorder="1" applyAlignment="1" applyProtection="1">
      <alignment horizontal="center"/>
      <protection hidden="1"/>
    </xf>
    <xf numFmtId="0" fontId="0" fillId="4" borderId="12" xfId="0" applyFill="1" applyBorder="1" applyAlignment="1" applyProtection="1">
      <alignment horizontal="center"/>
      <protection hidden="1"/>
    </xf>
    <xf numFmtId="0" fontId="0" fillId="4" borderId="1" xfId="0" applyFill="1" applyBorder="1" applyAlignment="1" applyProtection="1">
      <alignment horizontal="right"/>
      <protection hidden="1"/>
    </xf>
    <xf numFmtId="0" fontId="0" fillId="7" borderId="2" xfId="0" applyFill="1" applyBorder="1" applyProtection="1">
      <protection locked="0" hidden="1"/>
    </xf>
    <xf numFmtId="0" fontId="0" fillId="6" borderId="0" xfId="0" applyFill="1" applyProtection="1">
      <protection hidden="1"/>
    </xf>
    <xf numFmtId="0" fontId="0" fillId="6" borderId="0" xfId="0" applyFill="1" applyAlignment="1" applyProtection="1">
      <alignment horizontal="center" vertical="center"/>
      <protection hidden="1"/>
    </xf>
    <xf numFmtId="0" fontId="0" fillId="2" borderId="0" xfId="0" applyFill="1" applyAlignment="1" applyProtection="1">
      <alignment horizontal="center"/>
      <protection hidden="1"/>
    </xf>
    <xf numFmtId="165" fontId="0" fillId="2" borderId="14" xfId="0" applyNumberFormat="1" applyFill="1" applyBorder="1" applyAlignment="1" applyProtection="1">
      <alignment horizontal="center"/>
      <protection hidden="1"/>
    </xf>
    <xf numFmtId="0" fontId="0" fillId="6" borderId="1" xfId="0" applyFill="1" applyBorder="1" applyProtection="1">
      <protection hidden="1"/>
    </xf>
    <xf numFmtId="0" fontId="0" fillId="6" borderId="1" xfId="0" applyFill="1" applyBorder="1" applyAlignment="1" applyProtection="1">
      <alignment horizontal="center" vertical="center"/>
      <protection hidden="1"/>
    </xf>
    <xf numFmtId="165" fontId="9" fillId="2" borderId="27" xfId="0" applyNumberFormat="1" applyFont="1" applyFill="1" applyBorder="1" applyAlignment="1" applyProtection="1">
      <alignment horizontal="center"/>
      <protection hidden="1"/>
    </xf>
    <xf numFmtId="0" fontId="0" fillId="4" borderId="19" xfId="0" applyFill="1" applyBorder="1" applyProtection="1">
      <protection hidden="1"/>
    </xf>
    <xf numFmtId="0" fontId="0" fillId="2" borderId="20" xfId="0" applyFill="1" applyBorder="1" applyAlignment="1" applyProtection="1">
      <alignment vertical="center"/>
      <protection hidden="1"/>
    </xf>
    <xf numFmtId="0" fontId="0" fillId="4" borderId="19" xfId="0" applyFill="1" applyBorder="1" applyAlignment="1" applyProtection="1">
      <alignment vertical="center"/>
      <protection hidden="1"/>
    </xf>
    <xf numFmtId="0" fontId="0" fillId="4" borderId="21" xfId="0" applyFill="1" applyBorder="1" applyAlignment="1" applyProtection="1">
      <alignment vertical="center"/>
      <protection hidden="1"/>
    </xf>
    <xf numFmtId="0" fontId="0" fillId="4" borderId="17" xfId="0" applyFill="1" applyBorder="1" applyAlignment="1" applyProtection="1">
      <alignment vertical="center"/>
      <protection hidden="1"/>
    </xf>
    <xf numFmtId="0" fontId="0" fillId="4" borderId="21" xfId="0" applyFill="1" applyBorder="1" applyProtection="1">
      <protection hidden="1"/>
    </xf>
    <xf numFmtId="0" fontId="0" fillId="2" borderId="2" xfId="0" applyFill="1" applyBorder="1" applyProtection="1">
      <protection hidden="1"/>
    </xf>
    <xf numFmtId="0" fontId="33" fillId="2" borderId="0" xfId="0" applyFont="1" applyFill="1" applyAlignment="1" applyProtection="1">
      <alignment horizontal="center" vertical="center"/>
      <protection hidden="1"/>
    </xf>
    <xf numFmtId="0" fontId="0" fillId="4" borderId="5" xfId="0" applyFill="1" applyBorder="1" applyProtection="1">
      <protection hidden="1"/>
    </xf>
    <xf numFmtId="0" fontId="0" fillId="4" borderId="13" xfId="0" applyFill="1" applyBorder="1" applyProtection="1">
      <protection hidden="1"/>
    </xf>
    <xf numFmtId="49" fontId="0" fillId="4" borderId="14" xfId="0" applyNumberFormat="1" applyFill="1" applyBorder="1" applyAlignment="1" applyProtection="1">
      <alignment horizontal="center" vertical="center" wrapText="1"/>
      <protection hidden="1"/>
    </xf>
    <xf numFmtId="0" fontId="0" fillId="6" borderId="13" xfId="0" applyFill="1" applyBorder="1" applyProtection="1">
      <protection hidden="1"/>
    </xf>
    <xf numFmtId="0" fontId="0" fillId="6" borderId="0" xfId="0" applyFill="1" applyAlignment="1" applyProtection="1">
      <alignment horizontal="center"/>
      <protection hidden="1"/>
    </xf>
    <xf numFmtId="0" fontId="0" fillId="6" borderId="14" xfId="0" applyFill="1" applyBorder="1" applyProtection="1">
      <protection hidden="1"/>
    </xf>
    <xf numFmtId="0" fontId="0" fillId="6" borderId="15" xfId="0" applyFill="1" applyBorder="1" applyProtection="1">
      <protection hidden="1"/>
    </xf>
    <xf numFmtId="0" fontId="0" fillId="7" borderId="4" xfId="0" applyFill="1" applyBorder="1" applyProtection="1">
      <protection locked="0" hidden="1"/>
    </xf>
    <xf numFmtId="0" fontId="0" fillId="2" borderId="0" xfId="0" applyFill="1" applyAlignment="1" applyProtection="1">
      <alignment horizontal="left" vertical="center"/>
      <protection hidden="1"/>
    </xf>
    <xf numFmtId="4" fontId="0" fillId="2" borderId="0" xfId="0" applyNumberFormat="1" applyFill="1" applyProtection="1">
      <protection hidden="1"/>
    </xf>
    <xf numFmtId="4" fontId="9" fillId="2" borderId="26" xfId="0" applyNumberFormat="1" applyFont="1" applyFill="1" applyBorder="1" applyAlignment="1" applyProtection="1">
      <alignment horizontal="center"/>
      <protection hidden="1"/>
    </xf>
    <xf numFmtId="0" fontId="0" fillId="4" borderId="4" xfId="0" applyFill="1" applyBorder="1" applyProtection="1">
      <protection hidden="1"/>
    </xf>
    <xf numFmtId="0" fontId="0" fillId="4" borderId="4" xfId="0" applyFill="1" applyBorder="1" applyAlignment="1" applyProtection="1">
      <alignment horizontal="left" vertical="center"/>
      <protection hidden="1"/>
    </xf>
    <xf numFmtId="0" fontId="0" fillId="4" borderId="18" xfId="0" applyFill="1" applyBorder="1" applyAlignment="1" applyProtection="1">
      <alignment horizontal="center" vertical="center"/>
      <protection hidden="1"/>
    </xf>
    <xf numFmtId="0" fontId="0" fillId="4" borderId="0" xfId="0" applyFill="1" applyAlignment="1" applyProtection="1">
      <alignment horizontal="left" vertical="center"/>
      <protection hidden="1"/>
    </xf>
    <xf numFmtId="49" fontId="0" fillId="4" borderId="20" xfId="0" applyNumberFormat="1" applyFill="1" applyBorder="1" applyAlignment="1" applyProtection="1">
      <alignment horizontal="center" vertical="center" wrapText="1"/>
      <protection hidden="1"/>
    </xf>
    <xf numFmtId="0" fontId="0" fillId="4" borderId="0" xfId="0" applyFill="1" applyAlignment="1" applyProtection="1">
      <alignment horizontal="center"/>
      <protection hidden="1"/>
    </xf>
    <xf numFmtId="0" fontId="0" fillId="4" borderId="42" xfId="0" applyFill="1" applyBorder="1" applyProtection="1">
      <protection hidden="1"/>
    </xf>
    <xf numFmtId="0" fontId="0" fillId="2" borderId="37" xfId="0" applyFill="1" applyBorder="1" applyProtection="1">
      <protection hidden="1"/>
    </xf>
    <xf numFmtId="0" fontId="0" fillId="4" borderId="43" xfId="0" applyFill="1" applyBorder="1" applyProtection="1">
      <protection hidden="1"/>
    </xf>
    <xf numFmtId="0" fontId="0" fillId="4" borderId="1" xfId="0" applyFill="1" applyBorder="1" applyAlignment="1" applyProtection="1">
      <alignment horizontal="center"/>
      <protection hidden="1"/>
    </xf>
    <xf numFmtId="0" fontId="0" fillId="2" borderId="40" xfId="0" applyFill="1" applyBorder="1" applyProtection="1">
      <protection hidden="1"/>
    </xf>
    <xf numFmtId="0" fontId="34" fillId="4" borderId="41" xfId="0" applyFont="1" applyFill="1" applyBorder="1" applyAlignment="1" applyProtection="1">
      <alignment horizontal="center" vertical="center"/>
      <protection hidden="1"/>
    </xf>
    <xf numFmtId="0" fontId="33" fillId="4" borderId="11" xfId="0" applyFont="1" applyFill="1" applyBorder="1" applyAlignment="1" applyProtection="1">
      <alignment horizontal="center" vertical="center"/>
      <protection hidden="1"/>
    </xf>
    <xf numFmtId="0" fontId="33" fillId="4" borderId="5" xfId="0" applyFont="1" applyFill="1" applyBorder="1" applyAlignment="1" applyProtection="1">
      <alignment horizontal="left" vertical="center"/>
      <protection hidden="1"/>
    </xf>
    <xf numFmtId="0" fontId="33" fillId="4" borderId="13" xfId="0" applyFont="1" applyFill="1" applyBorder="1" applyAlignment="1" applyProtection="1">
      <alignment horizontal="center" vertical="center"/>
      <protection hidden="1"/>
    </xf>
    <xf numFmtId="0" fontId="33" fillId="2" borderId="17" xfId="0" applyFont="1" applyFill="1" applyBorder="1" applyAlignment="1" applyProtection="1">
      <alignment horizontal="center" vertical="center"/>
      <protection hidden="1"/>
    </xf>
    <xf numFmtId="0" fontId="33" fillId="2" borderId="19" xfId="0" applyFont="1" applyFill="1" applyBorder="1" applyAlignment="1" applyProtection="1">
      <alignment horizontal="center" vertical="center"/>
      <protection hidden="1"/>
    </xf>
    <xf numFmtId="0" fontId="33" fillId="2" borderId="21" xfId="0" applyFont="1" applyFill="1" applyBorder="1" applyAlignment="1" applyProtection="1">
      <alignment horizontal="center" vertical="center"/>
      <protection hidden="1"/>
    </xf>
    <xf numFmtId="0" fontId="33" fillId="4" borderId="0" xfId="0" applyFont="1" applyFill="1" applyAlignment="1" applyProtection="1">
      <alignment horizontal="center" vertical="center"/>
      <protection hidden="1"/>
    </xf>
    <xf numFmtId="0" fontId="33" fillId="2" borderId="38" xfId="0" applyFont="1" applyFill="1" applyBorder="1" applyAlignment="1" applyProtection="1">
      <alignment horizontal="center" vertical="center"/>
      <protection hidden="1"/>
    </xf>
    <xf numFmtId="0" fontId="33" fillId="4" borderId="12" xfId="0" applyFont="1" applyFill="1" applyBorder="1" applyAlignment="1" applyProtection="1">
      <alignment horizontal="center" vertical="center"/>
      <protection hidden="1"/>
    </xf>
    <xf numFmtId="0" fontId="33" fillId="4" borderId="14" xfId="0" applyFont="1" applyFill="1" applyBorder="1" applyAlignment="1" applyProtection="1">
      <alignment horizontal="center" vertical="center"/>
      <protection hidden="1"/>
    </xf>
    <xf numFmtId="0" fontId="33" fillId="2" borderId="3" xfId="0" applyFont="1" applyFill="1" applyBorder="1" applyAlignment="1" applyProtection="1">
      <alignment horizontal="center" vertical="center"/>
      <protection hidden="1"/>
    </xf>
    <xf numFmtId="0" fontId="0" fillId="2" borderId="13" xfId="0" applyFill="1" applyBorder="1" applyProtection="1">
      <protection hidden="1"/>
    </xf>
    <xf numFmtId="0" fontId="0" fillId="2" borderId="15" xfId="0" applyFill="1" applyBorder="1" applyProtection="1">
      <protection hidden="1"/>
    </xf>
    <xf numFmtId="0" fontId="0" fillId="2" borderId="44" xfId="0" applyFill="1" applyBorder="1" applyProtection="1">
      <protection hidden="1"/>
    </xf>
    <xf numFmtId="49" fontId="32" fillId="2" borderId="0" xfId="0" applyNumberFormat="1" applyFont="1" applyFill="1" applyAlignment="1" applyProtection="1">
      <alignment horizontal="center" vertical="center" wrapText="1"/>
      <protection hidden="1"/>
    </xf>
    <xf numFmtId="0" fontId="0" fillId="2" borderId="0" xfId="0" applyFill="1" applyAlignment="1" applyProtection="1">
      <alignment horizontal="left" vertical="center" indent="2"/>
      <protection hidden="1"/>
    </xf>
    <xf numFmtId="0" fontId="9" fillId="2" borderId="0" xfId="0" applyFont="1" applyFill="1" applyAlignment="1" applyProtection="1">
      <alignment vertical="center"/>
      <protection hidden="1"/>
    </xf>
    <xf numFmtId="0" fontId="9" fillId="2" borderId="0" xfId="0" applyFont="1" applyFill="1" applyAlignment="1" applyProtection="1">
      <alignment horizontal="left" vertical="center" indent="2"/>
      <protection hidden="1"/>
    </xf>
    <xf numFmtId="4" fontId="0" fillId="2" borderId="0" xfId="0" applyNumberFormat="1" applyFill="1" applyAlignment="1" applyProtection="1">
      <alignment horizontal="left" vertical="center"/>
      <protection hidden="1"/>
    </xf>
    <xf numFmtId="0" fontId="9" fillId="2" borderId="0" xfId="0" applyFont="1" applyFill="1" applyAlignment="1" applyProtection="1">
      <alignment horizontal="left" vertical="center"/>
      <protection hidden="1"/>
    </xf>
    <xf numFmtId="0" fontId="0" fillId="2" borderId="2" xfId="0" applyFill="1" applyBorder="1" applyAlignment="1" applyProtection="1">
      <alignment vertical="center"/>
      <protection hidden="1"/>
    </xf>
    <xf numFmtId="0" fontId="9" fillId="2" borderId="2" xfId="0" applyFont="1" applyFill="1" applyBorder="1" applyAlignment="1" applyProtection="1">
      <alignment horizontal="left" vertical="center"/>
      <protection hidden="1"/>
    </xf>
    <xf numFmtId="165" fontId="9" fillId="2" borderId="0" xfId="0" applyNumberFormat="1" applyFont="1" applyFill="1" applyAlignment="1" applyProtection="1">
      <alignment horizontal="center"/>
      <protection hidden="1"/>
    </xf>
    <xf numFmtId="165" fontId="0" fillId="6" borderId="0" xfId="0" applyNumberFormat="1" applyFill="1" applyAlignment="1" applyProtection="1">
      <alignment horizontal="center"/>
      <protection hidden="1"/>
    </xf>
    <xf numFmtId="165" fontId="0" fillId="7" borderId="35" xfId="0" applyNumberFormat="1" applyFill="1" applyBorder="1" applyAlignment="1" applyProtection="1">
      <alignment horizontal="center"/>
      <protection locked="0" hidden="1"/>
    </xf>
    <xf numFmtId="2" fontId="19" fillId="2" borderId="0" xfId="0" applyNumberFormat="1" applyFont="1" applyFill="1" applyAlignment="1" applyProtection="1">
      <alignment horizontal="left"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vertical="center"/>
      <protection hidden="1"/>
    </xf>
    <xf numFmtId="165" fontId="0" fillId="2" borderId="0" xfId="0" applyNumberFormat="1" applyFill="1" applyAlignment="1" applyProtection="1">
      <alignment horizontal="center"/>
      <protection hidden="1"/>
    </xf>
    <xf numFmtId="0" fontId="33" fillId="4" borderId="0" xfId="0" applyFont="1" applyFill="1" applyAlignment="1" applyProtection="1">
      <alignment horizontal="left" vertical="center"/>
      <protection hidden="1"/>
    </xf>
    <xf numFmtId="4" fontId="0" fillId="2" borderId="35" xfId="0" applyNumberFormat="1"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3" fillId="4" borderId="5" xfId="0" applyFon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0" fontId="0" fillId="7" borderId="41" xfId="0" applyFill="1" applyBorder="1" applyAlignment="1" applyProtection="1">
      <alignment horizontal="center" vertical="center"/>
      <protection hidden="1"/>
    </xf>
    <xf numFmtId="0" fontId="0" fillId="6" borderId="35" xfId="0" applyFill="1" applyBorder="1" applyAlignment="1" applyProtection="1">
      <alignment horizontal="center" vertical="center"/>
      <protection hidden="1"/>
    </xf>
    <xf numFmtId="0" fontId="0" fillId="7" borderId="2" xfId="0" applyFill="1" applyBorder="1" applyProtection="1">
      <protection hidden="1"/>
    </xf>
    <xf numFmtId="0" fontId="0" fillId="7" borderId="4" xfId="0" applyFill="1" applyBorder="1" applyProtection="1">
      <protection hidden="1"/>
    </xf>
    <xf numFmtId="0" fontId="0" fillId="7" borderId="0" xfId="0" applyFill="1" applyProtection="1">
      <protection hidden="1"/>
    </xf>
    <xf numFmtId="164" fontId="0" fillId="6" borderId="0" xfId="0" applyNumberFormat="1" applyFill="1" applyAlignment="1" applyProtection="1">
      <alignment horizontal="center" vertical="center"/>
      <protection hidden="1"/>
    </xf>
    <xf numFmtId="165" fontId="0" fillId="7" borderId="58" xfId="0" applyNumberFormat="1" applyFill="1" applyBorder="1" applyAlignment="1" applyProtection="1">
      <alignment horizontal="center"/>
      <protection hidden="1"/>
    </xf>
    <xf numFmtId="165" fontId="0" fillId="7" borderId="44" xfId="0" applyNumberFormat="1" applyFill="1" applyBorder="1" applyAlignment="1" applyProtection="1">
      <alignment horizontal="center"/>
      <protection hidden="1"/>
    </xf>
    <xf numFmtId="165" fontId="0" fillId="7" borderId="59" xfId="0" applyNumberFormat="1" applyFill="1" applyBorder="1" applyAlignment="1" applyProtection="1">
      <alignment horizontal="center"/>
      <protection hidden="1"/>
    </xf>
    <xf numFmtId="165" fontId="0" fillId="7" borderId="56" xfId="0" applyNumberFormat="1" applyFill="1" applyBorder="1" applyAlignment="1" applyProtection="1">
      <alignment horizontal="center"/>
      <protection hidden="1"/>
    </xf>
    <xf numFmtId="165" fontId="0" fillId="7" borderId="35" xfId="0" applyNumberFormat="1" applyFill="1" applyBorder="1" applyAlignment="1" applyProtection="1">
      <alignment horizontal="center"/>
      <protection hidden="1"/>
    </xf>
    <xf numFmtId="165" fontId="0" fillId="7" borderId="57" xfId="0" applyNumberFormat="1" applyFill="1" applyBorder="1" applyAlignment="1" applyProtection="1">
      <alignment horizontal="center"/>
      <protection hidden="1"/>
    </xf>
    <xf numFmtId="0" fontId="0" fillId="0" borderId="0" xfId="0" applyAlignment="1" applyProtection="1">
      <alignment vertical="center"/>
      <protection hidden="1"/>
    </xf>
    <xf numFmtId="0" fontId="28" fillId="0" borderId="0" xfId="0" applyFont="1" applyAlignment="1" applyProtection="1">
      <alignment vertical="center" wrapText="1"/>
      <protection hidden="1"/>
    </xf>
    <xf numFmtId="0" fontId="0" fillId="4" borderId="13" xfId="0" applyFill="1" applyBorder="1" applyAlignment="1" applyProtection="1">
      <alignment horizontal="left" vertical="center" indent="1"/>
      <protection hidden="1"/>
    </xf>
    <xf numFmtId="0" fontId="9" fillId="4" borderId="11" xfId="0" applyFont="1" applyFill="1" applyBorder="1" applyAlignment="1" applyProtection="1">
      <alignment horizontal="left" vertical="center" indent="1"/>
      <protection hidden="1"/>
    </xf>
    <xf numFmtId="0" fontId="9" fillId="4" borderId="13" xfId="0" applyFont="1" applyFill="1" applyBorder="1" applyAlignment="1" applyProtection="1">
      <alignment horizontal="left" vertical="center" indent="1"/>
      <protection hidden="1"/>
    </xf>
    <xf numFmtId="0" fontId="35" fillId="6" borderId="0" xfId="0" applyFont="1" applyFill="1" applyAlignment="1" applyProtection="1">
      <alignment horizontal="center" vertical="center" wrapText="1"/>
      <protection hidden="1"/>
    </xf>
    <xf numFmtId="165" fontId="0" fillId="2" borderId="0" xfId="0" applyNumberFormat="1" applyFill="1" applyAlignment="1" applyProtection="1">
      <alignment horizontal="center"/>
      <protection locked="0" hidden="1"/>
    </xf>
    <xf numFmtId="3" fontId="0" fillId="2" borderId="4" xfId="0" applyNumberFormat="1" applyFill="1" applyBorder="1" applyAlignment="1" applyProtection="1">
      <alignment horizontal="center" vertical="center"/>
      <protection hidden="1"/>
    </xf>
    <xf numFmtId="3" fontId="0" fillId="2" borderId="18"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3" fontId="0" fillId="2" borderId="40" xfId="0" applyNumberFormat="1" applyFill="1" applyBorder="1" applyAlignment="1" applyProtection="1">
      <alignment horizontal="center" vertical="center"/>
      <protection hidden="1"/>
    </xf>
    <xf numFmtId="3" fontId="0" fillId="2" borderId="0" xfId="0" applyNumberFormat="1" applyFill="1" applyAlignment="1" applyProtection="1">
      <alignment horizontal="center" vertical="center"/>
      <protection hidden="1"/>
    </xf>
    <xf numFmtId="3" fontId="0" fillId="2" borderId="20" xfId="0" applyNumberFormat="1" applyFill="1" applyBorder="1" applyAlignment="1" applyProtection="1">
      <alignment horizontal="center" vertical="center"/>
      <protection hidden="1"/>
    </xf>
    <xf numFmtId="3" fontId="0" fillId="2" borderId="2" xfId="0" applyNumberFormat="1" applyFill="1" applyBorder="1" applyAlignment="1" applyProtection="1">
      <alignment horizontal="center" vertical="center"/>
      <protection hidden="1"/>
    </xf>
    <xf numFmtId="3" fontId="0" fillId="2" borderId="22" xfId="0" applyNumberFormat="1" applyFill="1" applyBorder="1" applyAlignment="1" applyProtection="1">
      <alignment horizontal="center" vertical="center"/>
      <protection hidden="1"/>
    </xf>
    <xf numFmtId="3" fontId="0" fillId="2" borderId="38" xfId="0" applyNumberFormat="1" applyFill="1" applyBorder="1" applyProtection="1">
      <protection hidden="1"/>
    </xf>
    <xf numFmtId="3" fontId="0" fillId="2" borderId="39" xfId="0" applyNumberFormat="1" applyFill="1" applyBorder="1" applyProtection="1">
      <protection hidden="1"/>
    </xf>
    <xf numFmtId="3" fontId="9" fillId="2" borderId="28" xfId="0" applyNumberFormat="1" applyFont="1" applyFill="1" applyBorder="1" applyAlignment="1" applyProtection="1">
      <alignment horizontal="center"/>
      <protection hidden="1"/>
    </xf>
    <xf numFmtId="3" fontId="9" fillId="2" borderId="40" xfId="0" applyNumberFormat="1" applyFont="1" applyFill="1" applyBorder="1" applyAlignment="1" applyProtection="1">
      <alignment horizontal="center"/>
      <protection hidden="1"/>
    </xf>
    <xf numFmtId="3" fontId="0" fillId="2" borderId="3" xfId="0" applyNumberFormat="1" applyFill="1" applyBorder="1" applyProtection="1">
      <protection hidden="1"/>
    </xf>
    <xf numFmtId="3" fontId="0" fillId="2" borderId="41" xfId="0" applyNumberFormat="1" applyFill="1" applyBorder="1" applyProtection="1">
      <protection hidden="1"/>
    </xf>
    <xf numFmtId="0" fontId="36" fillId="2" borderId="0" xfId="0" applyFont="1" applyFill="1" applyAlignment="1" applyProtection="1">
      <alignment horizontal="left" vertical="top" wrapText="1"/>
      <protection hidden="1"/>
    </xf>
    <xf numFmtId="0" fontId="0" fillId="2" borderId="0" xfId="0" applyFill="1" applyAlignment="1" applyProtection="1">
      <alignment vertical="top" wrapText="1"/>
      <protection hidden="1"/>
    </xf>
    <xf numFmtId="3" fontId="0" fillId="2" borderId="0" xfId="0" applyNumberFormat="1" applyFill="1" applyAlignment="1" applyProtection="1">
      <alignment horizontal="right" vertical="center"/>
      <protection hidden="1"/>
    </xf>
    <xf numFmtId="3" fontId="0" fillId="2" borderId="0" xfId="0" applyNumberFormat="1" applyFill="1" applyAlignment="1" applyProtection="1">
      <alignment horizontal="right"/>
      <protection hidden="1"/>
    </xf>
    <xf numFmtId="3" fontId="0" fillId="2" borderId="14" xfId="0" applyNumberFormat="1" applyFill="1" applyBorder="1" applyAlignment="1" applyProtection="1">
      <alignment horizontal="right"/>
      <protection hidden="1"/>
    </xf>
    <xf numFmtId="3" fontId="9" fillId="2" borderId="26" xfId="0" applyNumberFormat="1" applyFont="1" applyFill="1" applyBorder="1" applyAlignment="1" applyProtection="1">
      <alignment horizontal="right"/>
      <protection hidden="1"/>
    </xf>
    <xf numFmtId="3" fontId="9" fillId="2" borderId="27" xfId="0" applyNumberFormat="1" applyFont="1" applyFill="1" applyBorder="1" applyAlignment="1" applyProtection="1">
      <alignment horizontal="right"/>
      <protection hidden="1"/>
    </xf>
    <xf numFmtId="3" fontId="9" fillId="2" borderId="0" xfId="0" applyNumberFormat="1" applyFont="1" applyFill="1" applyAlignment="1" applyProtection="1">
      <alignment horizontal="right" vertical="center"/>
      <protection hidden="1"/>
    </xf>
    <xf numFmtId="3" fontId="9" fillId="2" borderId="1" xfId="0" applyNumberFormat="1" applyFont="1" applyFill="1" applyBorder="1" applyAlignment="1" applyProtection="1">
      <alignment horizontal="right" vertical="center"/>
      <protection hidden="1"/>
    </xf>
    <xf numFmtId="0" fontId="0" fillId="0" borderId="0" xfId="0" applyAlignment="1" applyProtection="1">
      <alignment horizontal="center" vertical="center"/>
      <protection hidden="1"/>
    </xf>
    <xf numFmtId="0" fontId="37" fillId="2" borderId="0" xfId="0" applyFont="1" applyFill="1" applyAlignment="1">
      <alignment horizontal="center" vertical="center"/>
    </xf>
    <xf numFmtId="0" fontId="0" fillId="2" borderId="0" xfId="0" applyFill="1" applyAlignment="1" applyProtection="1">
      <alignment vertical="center" wrapText="1"/>
      <protection hidden="1"/>
    </xf>
    <xf numFmtId="0" fontId="26" fillId="2" borderId="0" xfId="0" applyFont="1" applyFill="1" applyAlignment="1" applyProtection="1">
      <alignment vertical="center" wrapText="1"/>
      <protection hidden="1"/>
    </xf>
    <xf numFmtId="0" fontId="25" fillId="2" borderId="0" xfId="0" applyFont="1" applyFill="1" applyAlignment="1" applyProtection="1">
      <alignment vertical="center" wrapText="1"/>
      <protection hidden="1"/>
    </xf>
    <xf numFmtId="0" fontId="26" fillId="2" borderId="45" xfId="0" applyFont="1" applyFill="1" applyBorder="1" applyAlignment="1" applyProtection="1">
      <alignment vertical="center" wrapText="1"/>
      <protection hidden="1"/>
    </xf>
    <xf numFmtId="0" fontId="25" fillId="2" borderId="45" xfId="0" applyFont="1" applyFill="1" applyBorder="1" applyAlignment="1" applyProtection="1">
      <alignment vertical="center" wrapText="1"/>
      <protection hidden="1"/>
    </xf>
    <xf numFmtId="0" fontId="26" fillId="2" borderId="0" xfId="0" applyFont="1" applyFill="1" applyProtection="1">
      <protection hidden="1"/>
    </xf>
    <xf numFmtId="0" fontId="26" fillId="2" borderId="0" xfId="0" applyFont="1" applyFill="1" applyAlignment="1" applyProtection="1">
      <alignment vertical="center"/>
      <protection hidden="1"/>
    </xf>
    <xf numFmtId="3" fontId="0" fillId="2" borderId="60" xfId="0" applyNumberFormat="1" applyFill="1" applyBorder="1" applyAlignment="1" applyProtection="1">
      <alignment horizontal="center" vertical="center"/>
      <protection hidden="1"/>
    </xf>
    <xf numFmtId="3" fontId="0" fillId="2" borderId="60" xfId="0" applyNumberFormat="1" applyFill="1" applyBorder="1" applyAlignment="1" applyProtection="1">
      <alignment horizontal="center"/>
      <protection hidden="1"/>
    </xf>
    <xf numFmtId="3" fontId="0" fillId="2" borderId="34" xfId="0" applyNumberFormat="1" applyFill="1" applyBorder="1" applyAlignment="1" applyProtection="1">
      <alignment horizontal="center"/>
      <protection hidden="1"/>
    </xf>
    <xf numFmtId="0" fontId="0" fillId="8" borderId="6" xfId="0" applyFill="1" applyBorder="1" applyAlignment="1" applyProtection="1">
      <alignment wrapText="1"/>
      <protection hidden="1"/>
    </xf>
    <xf numFmtId="49" fontId="0" fillId="8" borderId="6" xfId="0" applyNumberFormat="1" applyFill="1" applyBorder="1" applyAlignment="1" applyProtection="1">
      <alignment horizontal="right" wrapText="1"/>
      <protection hidden="1"/>
    </xf>
    <xf numFmtId="0" fontId="0" fillId="8" borderId="6" xfId="0" applyFill="1" applyBorder="1" applyAlignment="1" applyProtection="1">
      <alignment horizontal="right" wrapText="1"/>
      <protection hidden="1"/>
    </xf>
    <xf numFmtId="0" fontId="0" fillId="8" borderId="6" xfId="0" applyFill="1" applyBorder="1" applyAlignment="1" applyProtection="1">
      <alignment horizontal="right" vertical="top" wrapText="1"/>
      <protection hidden="1"/>
    </xf>
    <xf numFmtId="0" fontId="0" fillId="8" borderId="8" xfId="0" applyFill="1" applyBorder="1" applyAlignment="1" applyProtection="1">
      <alignment horizontal="right" wrapText="1"/>
      <protection hidden="1"/>
    </xf>
    <xf numFmtId="0" fontId="0" fillId="8" borderId="10" xfId="0" applyFill="1" applyBorder="1" applyAlignment="1" applyProtection="1">
      <alignment vertical="center" wrapText="1"/>
      <protection hidden="1"/>
    </xf>
    <xf numFmtId="0" fontId="0" fillId="8" borderId="10" xfId="0" applyFill="1" applyBorder="1" applyProtection="1">
      <protection hidden="1"/>
    </xf>
    <xf numFmtId="0" fontId="0" fillId="8" borderId="10" xfId="0" applyFill="1" applyBorder="1" applyAlignment="1" applyProtection="1">
      <alignment vertical="center"/>
      <protection hidden="1"/>
    </xf>
    <xf numFmtId="0" fontId="0" fillId="8" borderId="6" xfId="0" applyFill="1" applyBorder="1" applyProtection="1">
      <protection hidden="1"/>
    </xf>
    <xf numFmtId="0" fontId="0" fillId="8" borderId="6" xfId="0" applyFill="1" applyBorder="1" applyAlignment="1" applyProtection="1">
      <alignment horizontal="right"/>
      <protection hidden="1"/>
    </xf>
    <xf numFmtId="2" fontId="0" fillId="8" borderId="6" xfId="0" applyNumberFormat="1" applyFill="1" applyBorder="1" applyProtection="1">
      <protection hidden="1"/>
    </xf>
    <xf numFmtId="0" fontId="0" fillId="8" borderId="6" xfId="0" applyFill="1" applyBorder="1" applyAlignment="1" applyProtection="1">
      <alignment horizontal="left" vertical="top" wrapText="1"/>
      <protection hidden="1"/>
    </xf>
    <xf numFmtId="49" fontId="0" fillId="8" borderId="10" xfId="0" applyNumberFormat="1" applyFill="1" applyBorder="1" applyAlignment="1" applyProtection="1">
      <alignment horizontal="right" wrapText="1"/>
      <protection hidden="1"/>
    </xf>
    <xf numFmtId="0" fontId="0" fillId="8" borderId="10" xfId="0" applyFill="1" applyBorder="1" applyAlignment="1" applyProtection="1">
      <alignment horizontal="left" vertical="top" wrapText="1"/>
      <protection hidden="1"/>
    </xf>
    <xf numFmtId="0" fontId="0" fillId="8" borderId="10" xfId="0" applyFill="1" applyBorder="1" applyAlignment="1" applyProtection="1">
      <alignment wrapText="1"/>
      <protection hidden="1"/>
    </xf>
    <xf numFmtId="0" fontId="0" fillId="8" borderId="6" xfId="0" applyFill="1" applyBorder="1" applyAlignment="1" applyProtection="1">
      <alignment horizontal="left" vertical="center" wrapText="1"/>
      <protection hidden="1"/>
    </xf>
    <xf numFmtId="49" fontId="0" fillId="8" borderId="6" xfId="0" applyNumberFormat="1" applyFill="1" applyBorder="1" applyAlignment="1" applyProtection="1">
      <alignment horizontal="right" vertical="center" wrapText="1"/>
      <protection hidden="1"/>
    </xf>
    <xf numFmtId="0" fontId="0" fillId="8" borderId="6" xfId="0" applyFill="1" applyBorder="1" applyAlignment="1" applyProtection="1">
      <alignment vertical="center" wrapText="1"/>
      <protection hidden="1"/>
    </xf>
    <xf numFmtId="0" fontId="0" fillId="8" borderId="10" xfId="0" applyFill="1" applyBorder="1" applyAlignment="1" applyProtection="1">
      <alignment horizontal="left" vertical="center" wrapText="1"/>
      <protection hidden="1"/>
    </xf>
    <xf numFmtId="49" fontId="0" fillId="8" borderId="10" xfId="0" applyNumberFormat="1" applyFill="1" applyBorder="1" applyAlignment="1" applyProtection="1">
      <alignment horizontal="right" vertical="center" wrapText="1"/>
      <protection hidden="1"/>
    </xf>
    <xf numFmtId="0" fontId="1" fillId="8" borderId="6" xfId="0" applyFont="1" applyFill="1" applyBorder="1" applyAlignment="1" applyProtection="1">
      <alignment vertical="top" wrapText="1"/>
      <protection hidden="1"/>
    </xf>
    <xf numFmtId="0" fontId="1" fillId="8" borderId="10" xfId="0" applyFont="1" applyFill="1" applyBorder="1" applyAlignment="1" applyProtection="1">
      <alignment vertical="top" wrapText="1"/>
      <protection hidden="1"/>
    </xf>
    <xf numFmtId="0" fontId="38" fillId="2" borderId="0" xfId="0" applyFont="1" applyFill="1" applyProtection="1">
      <protection hidden="1"/>
    </xf>
    <xf numFmtId="0" fontId="1" fillId="8" borderId="6" xfId="0" applyFont="1" applyFill="1" applyBorder="1" applyAlignment="1" applyProtection="1">
      <alignment horizontal="left" vertical="top" wrapText="1"/>
      <protection hidden="1"/>
    </xf>
    <xf numFmtId="0" fontId="1" fillId="8" borderId="10" xfId="0" applyFont="1" applyFill="1" applyBorder="1" applyAlignment="1" applyProtection="1">
      <alignment horizontal="left" vertical="top" wrapText="1"/>
      <protection hidden="1"/>
    </xf>
    <xf numFmtId="0" fontId="39" fillId="0" borderId="0" xfId="0" applyFont="1" applyAlignment="1">
      <alignment vertical="center"/>
    </xf>
    <xf numFmtId="0" fontId="39" fillId="0" borderId="6" xfId="0" applyFont="1" applyBorder="1" applyAlignment="1">
      <alignment vertical="center"/>
    </xf>
    <xf numFmtId="2" fontId="0" fillId="0" borderId="6" xfId="0" applyNumberFormat="1" applyBorder="1" applyProtection="1">
      <protection hidden="1"/>
    </xf>
    <xf numFmtId="0" fontId="0" fillId="0" borderId="6" xfId="0" applyBorder="1" applyAlignment="1" applyProtection="1">
      <alignment horizontal="left" vertical="top" wrapText="1"/>
      <protection hidden="1"/>
    </xf>
    <xf numFmtId="165" fontId="0" fillId="7" borderId="1" xfId="0" applyNumberFormat="1" applyFill="1" applyBorder="1" applyAlignment="1" applyProtection="1">
      <alignment horizontal="center" vertical="center"/>
      <protection locked="0" hidden="1"/>
    </xf>
    <xf numFmtId="165" fontId="0" fillId="7" borderId="5" xfId="0" applyNumberFormat="1" applyFill="1" applyBorder="1" applyAlignment="1" applyProtection="1">
      <alignment horizontal="center" vertical="center"/>
      <protection locked="0" hidden="1"/>
    </xf>
    <xf numFmtId="165" fontId="0" fillId="7" borderId="0" xfId="0" applyNumberFormat="1" applyFill="1" applyAlignment="1" applyProtection="1">
      <alignment horizontal="center" vertical="center"/>
      <protection locked="0" hidden="1"/>
    </xf>
    <xf numFmtId="165" fontId="0" fillId="7" borderId="1" xfId="0" applyNumberFormat="1" applyFill="1" applyBorder="1" applyAlignment="1" applyProtection="1">
      <alignment horizontal="center" vertical="center"/>
      <protection hidden="1"/>
    </xf>
    <xf numFmtId="165" fontId="0" fillId="7" borderId="3" xfId="0" applyNumberFormat="1" applyFill="1" applyBorder="1" applyAlignment="1" applyProtection="1">
      <alignment horizontal="center" vertical="center"/>
      <protection hidden="1"/>
    </xf>
    <xf numFmtId="3" fontId="0" fillId="2" borderId="0" xfId="0" applyNumberFormat="1" applyFill="1" applyAlignment="1" applyProtection="1">
      <alignment horizontal="center"/>
      <protection hidden="1"/>
    </xf>
    <xf numFmtId="3" fontId="0" fillId="2" borderId="14" xfId="0" applyNumberFormat="1" applyFill="1" applyBorder="1" applyAlignment="1" applyProtection="1">
      <alignment horizontal="center"/>
      <protection hidden="1"/>
    </xf>
    <xf numFmtId="3" fontId="9" fillId="2" borderId="0" xfId="0" applyNumberFormat="1" applyFont="1" applyFill="1" applyAlignment="1" applyProtection="1">
      <alignment horizontal="center"/>
      <protection hidden="1"/>
    </xf>
    <xf numFmtId="165" fontId="0" fillId="7" borderId="5" xfId="0" applyNumberFormat="1" applyFill="1" applyBorder="1" applyAlignment="1" applyProtection="1">
      <alignment horizontal="center" vertical="center"/>
      <protection hidden="1"/>
    </xf>
    <xf numFmtId="165" fontId="0" fillId="7" borderId="0" xfId="0" applyNumberFormat="1" applyFill="1" applyAlignment="1" applyProtection="1">
      <alignment horizontal="center" vertical="center"/>
      <protection hidden="1"/>
    </xf>
    <xf numFmtId="3" fontId="9" fillId="2" borderId="26" xfId="0" applyNumberFormat="1" applyFont="1" applyFill="1" applyBorder="1" applyAlignment="1" applyProtection="1">
      <alignment horizontal="center"/>
      <protection hidden="1"/>
    </xf>
    <xf numFmtId="165" fontId="0" fillId="7" borderId="3" xfId="0" applyNumberFormat="1" applyFill="1" applyBorder="1" applyAlignment="1" applyProtection="1">
      <alignment horizontal="center" vertical="center"/>
      <protection locked="0" hidden="1"/>
    </xf>
    <xf numFmtId="4" fontId="9" fillId="2" borderId="34" xfId="0" applyNumberFormat="1" applyFont="1" applyFill="1" applyBorder="1" applyAlignment="1" applyProtection="1">
      <alignment horizontal="center"/>
      <protection hidden="1"/>
    </xf>
    <xf numFmtId="4" fontId="0" fillId="7" borderId="44" xfId="0" applyNumberFormat="1" applyFill="1" applyBorder="1" applyAlignment="1" applyProtection="1">
      <alignment horizontal="center"/>
      <protection locked="0" hidden="1"/>
    </xf>
    <xf numFmtId="4" fontId="9" fillId="2" borderId="51" xfId="0" applyNumberFormat="1" applyFont="1" applyFill="1" applyBorder="1" applyAlignment="1" applyProtection="1">
      <alignment horizontal="center"/>
      <protection hidden="1"/>
    </xf>
    <xf numFmtId="49" fontId="0" fillId="2" borderId="0" xfId="0" applyNumberFormat="1" applyFill="1" applyAlignment="1" applyProtection="1">
      <alignment horizontal="right" wrapText="1"/>
      <protection hidden="1"/>
    </xf>
    <xf numFmtId="0" fontId="33" fillId="4" borderId="0" xfId="0" applyFont="1" applyFill="1" applyAlignment="1" applyProtection="1">
      <alignment horizontal="left" vertical="center"/>
      <protection hidden="1"/>
    </xf>
    <xf numFmtId="0" fontId="0" fillId="2" borderId="26" xfId="0" applyFill="1" applyBorder="1" applyAlignment="1" applyProtection="1">
      <alignment horizontal="left" vertical="center"/>
      <protection hidden="1"/>
    </xf>
    <xf numFmtId="0" fontId="24" fillId="4" borderId="5" xfId="0" applyFont="1" applyFill="1" applyBorder="1" applyAlignment="1" applyProtection="1">
      <alignment horizontal="left" vertical="center"/>
      <protection hidden="1"/>
    </xf>
    <xf numFmtId="0" fontId="24" fillId="4" borderId="0" xfId="0" applyFont="1" applyFill="1" applyAlignment="1" applyProtection="1">
      <alignment horizontal="left" vertical="center"/>
      <protection hidden="1"/>
    </xf>
    <xf numFmtId="0" fontId="0" fillId="4" borderId="5" xfId="0" applyFill="1" applyBorder="1" applyAlignment="1" applyProtection="1">
      <alignment horizontal="center" vertical="center"/>
      <protection hidden="1"/>
    </xf>
    <xf numFmtId="0" fontId="0" fillId="4" borderId="0" xfId="0" applyFill="1" applyAlignment="1" applyProtection="1">
      <alignment horizontal="center" vertical="center"/>
      <protection hidden="1"/>
    </xf>
    <xf numFmtId="0" fontId="0" fillId="4" borderId="5" xfId="0" applyFill="1" applyBorder="1" applyAlignment="1" applyProtection="1">
      <alignment horizontal="center"/>
      <protection hidden="1"/>
    </xf>
    <xf numFmtId="0" fontId="0" fillId="7" borderId="40" xfId="0" applyFill="1" applyBorder="1" applyAlignment="1" applyProtection="1">
      <alignment horizontal="center" vertical="center"/>
      <protection locked="0" hidden="1"/>
    </xf>
    <xf numFmtId="0" fontId="0" fillId="7" borderId="3" xfId="0" applyFill="1" applyBorder="1" applyAlignment="1" applyProtection="1">
      <alignment horizontal="center" vertical="center"/>
      <protection locked="0" hidden="1"/>
    </xf>
    <xf numFmtId="0" fontId="0" fillId="7" borderId="41" xfId="0" applyFill="1" applyBorder="1" applyAlignment="1" applyProtection="1">
      <alignment horizontal="center" vertical="center"/>
      <protection locked="0" hidden="1"/>
    </xf>
    <xf numFmtId="0" fontId="33" fillId="4" borderId="0" xfId="0" applyFont="1" applyFill="1" applyAlignment="1" applyProtection="1">
      <alignment horizontal="center" vertical="center"/>
      <protection hidden="1"/>
    </xf>
    <xf numFmtId="4" fontId="0" fillId="2" borderId="7" xfId="0" applyNumberFormat="1" applyFill="1" applyBorder="1" applyAlignment="1" applyProtection="1">
      <alignment horizontal="center"/>
      <protection hidden="1"/>
    </xf>
    <xf numFmtId="165" fontId="0" fillId="2" borderId="7" xfId="0" applyNumberFormat="1" applyFill="1" applyBorder="1" applyAlignment="1" applyProtection="1">
      <alignment horizontal="center"/>
      <protection hidden="1"/>
    </xf>
    <xf numFmtId="165" fontId="0" fillId="2" borderId="0" xfId="0" applyNumberFormat="1" applyFill="1" applyAlignment="1" applyProtection="1">
      <alignment horizontal="center"/>
      <protection hidden="1"/>
    </xf>
    <xf numFmtId="0" fontId="24" fillId="4" borderId="4" xfId="0" applyFont="1" applyFill="1" applyBorder="1" applyAlignment="1" applyProtection="1">
      <alignment horizontal="left" vertical="center"/>
      <protection hidden="1"/>
    </xf>
    <xf numFmtId="0" fontId="14" fillId="4" borderId="0" xfId="0" applyFont="1" applyFill="1" applyAlignment="1" applyProtection="1">
      <alignment horizontal="right" vertical="center"/>
      <protection hidden="1"/>
    </xf>
    <xf numFmtId="0" fontId="0" fillId="4" borderId="4" xfId="0" applyFill="1" applyBorder="1" applyAlignment="1" applyProtection="1">
      <alignment horizontal="center" vertical="center"/>
      <protection hidden="1"/>
    </xf>
    <xf numFmtId="0" fontId="14" fillId="4" borderId="2" xfId="0" applyFont="1" applyFill="1" applyBorder="1" applyAlignment="1" applyProtection="1">
      <alignment horizontal="right" vertical="center"/>
      <protection hidden="1"/>
    </xf>
    <xf numFmtId="0" fontId="24" fillId="4" borderId="18" xfId="0" applyFont="1" applyFill="1" applyBorder="1" applyAlignment="1" applyProtection="1">
      <alignment horizontal="left" vertical="center"/>
      <protection hidden="1"/>
    </xf>
    <xf numFmtId="0" fontId="24" fillId="4" borderId="20" xfId="0" applyFont="1" applyFill="1" applyBorder="1" applyAlignment="1" applyProtection="1">
      <alignment horizontal="left" vertical="center"/>
      <protection hidden="1"/>
    </xf>
    <xf numFmtId="3" fontId="0" fillId="2" borderId="0" xfId="0" applyNumberFormat="1" applyFill="1" applyAlignment="1" applyProtection="1">
      <alignment horizontal="right" vertical="center"/>
      <protection hidden="1"/>
    </xf>
    <xf numFmtId="3" fontId="19" fillId="2" borderId="0" xfId="0" applyNumberFormat="1" applyFont="1" applyFill="1" applyAlignment="1" applyProtection="1">
      <alignment horizontal="left" vertical="center"/>
      <protection hidden="1"/>
    </xf>
    <xf numFmtId="3" fontId="19" fillId="2" borderId="20" xfId="0" applyNumberFormat="1" applyFont="1" applyFill="1" applyBorder="1" applyAlignment="1" applyProtection="1">
      <alignment horizontal="left" vertical="center"/>
      <protection hidden="1"/>
    </xf>
    <xf numFmtId="3" fontId="19" fillId="2" borderId="2" xfId="0" applyNumberFormat="1" applyFont="1" applyFill="1" applyBorder="1" applyAlignment="1" applyProtection="1">
      <alignment horizontal="left" vertical="center"/>
      <protection hidden="1"/>
    </xf>
    <xf numFmtId="3" fontId="19" fillId="2" borderId="22" xfId="0" applyNumberFormat="1" applyFont="1" applyFill="1" applyBorder="1" applyAlignment="1" applyProtection="1">
      <alignment horizontal="left" vertical="center"/>
      <protection hidden="1"/>
    </xf>
    <xf numFmtId="0" fontId="17" fillId="2" borderId="5" xfId="0" applyFont="1" applyFill="1" applyBorder="1" applyAlignment="1" applyProtection="1">
      <alignment horizontal="center" vertical="center"/>
      <protection hidden="1"/>
    </xf>
    <xf numFmtId="3" fontId="9" fillId="2" borderId="31" xfId="0" applyNumberFormat="1" applyFont="1" applyFill="1" applyBorder="1" applyAlignment="1" applyProtection="1">
      <alignment horizontal="right" vertical="center"/>
      <protection hidden="1"/>
    </xf>
    <xf numFmtId="3" fontId="9" fillId="2" borderId="32" xfId="0" applyNumberFormat="1" applyFont="1" applyFill="1" applyBorder="1" applyAlignment="1" applyProtection="1">
      <alignment horizontal="right" vertical="center"/>
      <protection hidden="1"/>
    </xf>
    <xf numFmtId="3" fontId="9" fillId="2" borderId="29" xfId="0" applyNumberFormat="1" applyFont="1" applyFill="1" applyBorder="1" applyAlignment="1" applyProtection="1">
      <alignment horizontal="right" vertical="center"/>
      <protection hidden="1"/>
    </xf>
    <xf numFmtId="3" fontId="9" fillId="2" borderId="30" xfId="0" applyNumberFormat="1" applyFont="1" applyFill="1" applyBorder="1" applyAlignment="1" applyProtection="1">
      <alignment horizontal="right" vertical="center"/>
      <protection hidden="1"/>
    </xf>
    <xf numFmtId="3" fontId="9" fillId="2" borderId="23" xfId="0" applyNumberFormat="1" applyFont="1" applyFill="1" applyBorder="1" applyAlignment="1" applyProtection="1">
      <alignment horizontal="right" vertical="center"/>
      <protection hidden="1"/>
    </xf>
    <xf numFmtId="3" fontId="9" fillId="2" borderId="24" xfId="0" applyNumberFormat="1" applyFont="1" applyFill="1" applyBorder="1" applyAlignment="1" applyProtection="1">
      <alignment horizontal="right" vertical="center"/>
      <protection hidden="1"/>
    </xf>
    <xf numFmtId="0" fontId="17" fillId="2" borderId="0" xfId="0" applyFont="1" applyFill="1" applyAlignment="1" applyProtection="1">
      <alignment horizontal="center" vertical="center"/>
      <protection hidden="1"/>
    </xf>
    <xf numFmtId="3" fontId="0" fillId="2" borderId="23" xfId="0" applyNumberFormat="1" applyFill="1" applyBorder="1" applyAlignment="1" applyProtection="1">
      <alignment horizontal="center" vertical="center"/>
      <protection hidden="1"/>
    </xf>
    <xf numFmtId="3" fontId="0" fillId="2" borderId="24" xfId="0" applyNumberFormat="1" applyFill="1" applyBorder="1" applyAlignment="1" applyProtection="1">
      <alignment horizontal="center" vertical="center"/>
      <protection hidden="1"/>
    </xf>
    <xf numFmtId="3" fontId="0" fillId="2" borderId="41" xfId="0" applyNumberFormat="1" applyFill="1" applyBorder="1" applyAlignment="1" applyProtection="1">
      <alignment horizontal="center" vertical="center"/>
      <protection hidden="1"/>
    </xf>
    <xf numFmtId="3" fontId="0" fillId="2" borderId="28" xfId="0" applyNumberFormat="1" applyFill="1" applyBorder="1" applyAlignment="1" applyProtection="1">
      <alignment horizontal="center" vertical="center"/>
      <protection hidden="1"/>
    </xf>
    <xf numFmtId="4" fontId="0" fillId="2" borderId="28" xfId="0" applyNumberFormat="1" applyFill="1" applyBorder="1" applyAlignment="1" applyProtection="1">
      <alignment horizontal="center" vertical="center"/>
      <protection hidden="1"/>
    </xf>
    <xf numFmtId="0" fontId="0" fillId="2" borderId="28" xfId="0" applyFill="1" applyBorder="1" applyAlignment="1" applyProtection="1">
      <alignment horizontal="center" vertical="center"/>
      <protection hidden="1"/>
    </xf>
    <xf numFmtId="4" fontId="0" fillId="4" borderId="0" xfId="0" applyNumberFormat="1" applyFill="1" applyAlignment="1" applyProtection="1">
      <alignment horizontal="center" vertical="center"/>
      <protection hidden="1"/>
    </xf>
    <xf numFmtId="0" fontId="33" fillId="4" borderId="38" xfId="0" applyFont="1" applyFill="1" applyBorder="1" applyAlignment="1" applyProtection="1">
      <alignment horizontal="center" vertical="center"/>
      <protection hidden="1"/>
    </xf>
    <xf numFmtId="0" fontId="0" fillId="4" borderId="0" xfId="0" applyFill="1" applyAlignment="1" applyProtection="1">
      <alignment horizontal="center" vertical="center" wrapText="1"/>
      <protection hidden="1"/>
    </xf>
    <xf numFmtId="0" fontId="33" fillId="4" borderId="5" xfId="0" applyFont="1" applyFill="1" applyBorder="1" applyAlignment="1" applyProtection="1">
      <alignment horizontal="center" vertical="center"/>
      <protection hidden="1"/>
    </xf>
    <xf numFmtId="4" fontId="0" fillId="2" borderId="35" xfId="0" applyNumberFormat="1" applyFill="1" applyBorder="1" applyAlignment="1" applyProtection="1">
      <alignment horizontal="center" vertical="center"/>
      <protection hidden="1"/>
    </xf>
    <xf numFmtId="0" fontId="0" fillId="2" borderId="35" xfId="0" applyFill="1" applyBorder="1" applyAlignment="1" applyProtection="1">
      <alignment horizontal="center" vertical="center"/>
      <protection hidden="1"/>
    </xf>
    <xf numFmtId="0" fontId="33" fillId="4" borderId="37" xfId="0" applyFont="1" applyFill="1" applyBorder="1" applyAlignment="1" applyProtection="1">
      <alignment horizontal="left" vertical="center"/>
      <protection hidden="1"/>
    </xf>
    <xf numFmtId="0" fontId="33" fillId="4" borderId="38" xfId="0" applyFont="1" applyFill="1" applyBorder="1" applyAlignment="1" applyProtection="1">
      <alignment horizontal="left" vertical="center"/>
      <protection hidden="1"/>
    </xf>
    <xf numFmtId="4" fontId="9" fillId="2" borderId="36" xfId="0" applyNumberFormat="1" applyFont="1" applyFill="1" applyBorder="1" applyAlignment="1" applyProtection="1">
      <alignment horizontal="center" vertical="center"/>
      <protection hidden="1"/>
    </xf>
    <xf numFmtId="0" fontId="9" fillId="2" borderId="36" xfId="0" applyFont="1" applyFill="1" applyBorder="1" applyAlignment="1" applyProtection="1">
      <alignment horizontal="center" vertical="center"/>
      <protection hidden="1"/>
    </xf>
    <xf numFmtId="3" fontId="9" fillId="2" borderId="28" xfId="0" applyNumberFormat="1" applyFont="1" applyFill="1" applyBorder="1" applyAlignment="1" applyProtection="1">
      <alignment horizontal="center" vertical="center"/>
      <protection hidden="1"/>
    </xf>
    <xf numFmtId="3" fontId="0" fillId="2" borderId="37" xfId="0" applyNumberFormat="1" applyFill="1" applyBorder="1" applyAlignment="1" applyProtection="1">
      <alignment horizontal="center" vertical="center"/>
      <protection hidden="1"/>
    </xf>
    <xf numFmtId="3" fontId="0" fillId="2" borderId="39" xfId="0" applyNumberFormat="1" applyFill="1" applyBorder="1" applyAlignment="1" applyProtection="1">
      <alignment horizontal="center" vertical="center"/>
      <protection hidden="1"/>
    </xf>
    <xf numFmtId="0" fontId="0" fillId="2" borderId="0" xfId="0" applyFill="1" applyAlignment="1" applyProtection="1">
      <alignment horizontal="center"/>
      <protection hidden="1"/>
    </xf>
    <xf numFmtId="3" fontId="9" fillId="2" borderId="41" xfId="0" applyNumberFormat="1" applyFont="1" applyFill="1" applyBorder="1" applyAlignment="1" applyProtection="1">
      <alignment horizontal="center" vertical="center"/>
      <protection hidden="1"/>
    </xf>
    <xf numFmtId="0" fontId="0" fillId="7" borderId="40" xfId="0" applyFill="1" applyBorder="1" applyAlignment="1" applyProtection="1">
      <alignment horizontal="center" vertical="center"/>
      <protection hidden="1"/>
    </xf>
    <xf numFmtId="0" fontId="0" fillId="7" borderId="3" xfId="0" applyFill="1" applyBorder="1" applyAlignment="1" applyProtection="1">
      <alignment horizontal="center" vertical="center"/>
      <protection hidden="1"/>
    </xf>
    <xf numFmtId="0" fontId="0" fillId="7" borderId="41" xfId="0" applyFill="1" applyBorder="1" applyAlignment="1" applyProtection="1">
      <alignment horizontal="center" vertical="center"/>
      <protection hidden="1"/>
    </xf>
    <xf numFmtId="0" fontId="0" fillId="4" borderId="0" xfId="0" applyFill="1" applyAlignment="1" applyProtection="1">
      <alignment horizontal="center"/>
      <protection hidden="1"/>
    </xf>
    <xf numFmtId="4" fontId="0" fillId="2" borderId="0" xfId="0" applyNumberFormat="1" applyFill="1" applyAlignment="1" applyProtection="1">
      <alignment horizontal="center"/>
      <protection hidden="1"/>
    </xf>
    <xf numFmtId="3" fontId="14" fillId="2" borderId="0" xfId="0" applyNumberFormat="1" applyFont="1" applyFill="1" applyAlignment="1" applyProtection="1">
      <alignment horizontal="right" vertical="center"/>
      <protection hidden="1"/>
    </xf>
    <xf numFmtId="0" fontId="0" fillId="2" borderId="1" xfId="0" applyFill="1" applyBorder="1" applyAlignment="1" applyProtection="1">
      <alignment horizontal="left" vertical="center"/>
      <protection hidden="1"/>
    </xf>
    <xf numFmtId="0" fontId="0" fillId="6" borderId="0" xfId="0" applyFill="1" applyAlignment="1" applyProtection="1">
      <alignment horizontal="center"/>
      <protection hidden="1"/>
    </xf>
    <xf numFmtId="0" fontId="5" fillId="2" borderId="44" xfId="0" applyFont="1" applyFill="1" applyBorder="1" applyAlignment="1" applyProtection="1">
      <alignment horizontal="center" vertical="center" wrapText="1"/>
      <protection hidden="1"/>
    </xf>
    <xf numFmtId="0" fontId="5" fillId="2" borderId="36" xfId="0" applyFont="1" applyFill="1" applyBorder="1" applyAlignment="1" applyProtection="1">
      <alignment horizontal="center" vertical="center" wrapText="1"/>
      <protection hidden="1"/>
    </xf>
    <xf numFmtId="3" fontId="19" fillId="2" borderId="1" xfId="0" applyNumberFormat="1" applyFont="1" applyFill="1" applyBorder="1" applyAlignment="1" applyProtection="1">
      <alignment horizontal="left" vertical="center"/>
      <protection hidden="1"/>
    </xf>
    <xf numFmtId="3" fontId="19" fillId="2" borderId="33" xfId="0" applyNumberFormat="1" applyFont="1" applyFill="1" applyBorder="1" applyAlignment="1" applyProtection="1">
      <alignment horizontal="left" vertical="center"/>
      <protection hidden="1"/>
    </xf>
    <xf numFmtId="3" fontId="19" fillId="2" borderId="14" xfId="0" applyNumberFormat="1" applyFont="1" applyFill="1" applyBorder="1" applyAlignment="1" applyProtection="1">
      <alignment horizontal="left" vertical="center"/>
      <protection hidden="1"/>
    </xf>
    <xf numFmtId="3" fontId="15" fillId="2" borderId="31" xfId="0" applyNumberFormat="1" applyFont="1" applyFill="1" applyBorder="1" applyAlignment="1" applyProtection="1">
      <alignment horizontal="right" vertical="center"/>
      <protection hidden="1"/>
    </xf>
    <xf numFmtId="3" fontId="15" fillId="2" borderId="32" xfId="0" applyNumberFormat="1" applyFont="1" applyFill="1" applyBorder="1" applyAlignment="1" applyProtection="1">
      <alignment horizontal="right" vertical="center"/>
      <protection hidden="1"/>
    </xf>
    <xf numFmtId="0" fontId="14" fillId="2" borderId="0" xfId="0" applyFont="1" applyFill="1" applyAlignment="1" applyProtection="1">
      <alignment vertical="center"/>
      <protection hidden="1"/>
    </xf>
    <xf numFmtId="0" fontId="14" fillId="2" borderId="20" xfId="0" applyFont="1" applyFill="1" applyBorder="1" applyAlignment="1" applyProtection="1">
      <alignment vertical="center"/>
      <protection hidden="1"/>
    </xf>
    <xf numFmtId="3" fontId="15" fillId="2" borderId="29" xfId="0" applyNumberFormat="1" applyFont="1" applyFill="1" applyBorder="1" applyAlignment="1" applyProtection="1">
      <alignment horizontal="right" vertical="center"/>
      <protection hidden="1"/>
    </xf>
    <xf numFmtId="3" fontId="15" fillId="2" borderId="30" xfId="0" applyNumberFormat="1" applyFont="1" applyFill="1" applyBorder="1" applyAlignment="1" applyProtection="1">
      <alignment horizontal="right" vertical="center"/>
      <protection hidden="1"/>
    </xf>
    <xf numFmtId="3" fontId="15" fillId="2" borderId="23" xfId="0" applyNumberFormat="1" applyFont="1" applyFill="1" applyBorder="1" applyAlignment="1" applyProtection="1">
      <alignment horizontal="right" vertical="center"/>
      <protection hidden="1"/>
    </xf>
    <xf numFmtId="3" fontId="15" fillId="2" borderId="24" xfId="0" applyNumberFormat="1" applyFont="1" applyFill="1" applyBorder="1" applyAlignment="1" applyProtection="1">
      <alignment horizontal="right" vertical="center"/>
      <protection hidden="1"/>
    </xf>
    <xf numFmtId="0" fontId="0" fillId="4" borderId="13" xfId="0" applyFill="1" applyBorder="1" applyAlignment="1" applyProtection="1">
      <alignment horizontal="center" vertical="center"/>
      <protection hidden="1"/>
    </xf>
    <xf numFmtId="0" fontId="0" fillId="4" borderId="14" xfId="0" applyFill="1" applyBorder="1" applyAlignment="1" applyProtection="1">
      <alignment horizontal="center" vertical="center"/>
      <protection hidden="1"/>
    </xf>
    <xf numFmtId="0" fontId="0" fillId="4" borderId="19"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31" fillId="2" borderId="0" xfId="0" applyFont="1" applyFill="1" applyAlignment="1" applyProtection="1">
      <alignment horizontal="center" wrapText="1"/>
      <protection hidden="1"/>
    </xf>
    <xf numFmtId="0" fontId="0" fillId="2" borderId="0" xfId="0" applyFill="1" applyAlignment="1" applyProtection="1">
      <alignment horizontal="center" wrapText="1"/>
      <protection hidden="1"/>
    </xf>
  </cellXfs>
  <cellStyles count="19">
    <cellStyle name="Followed Hyperlink" xfId="2" builtinId="9" hidden="1"/>
    <cellStyle name="Followed Hyperlink" xfId="12" builtinId="9" hidden="1"/>
    <cellStyle name="Followed Hyperlink" xfId="16" builtinId="9" hidden="1"/>
    <cellStyle name="Followed Hyperlink" xfId="8" builtinId="9" hidden="1"/>
    <cellStyle name="Followed Hyperlink" xfId="10" builtinId="9" hidden="1"/>
    <cellStyle name="Followed Hyperlink" xfId="6" builtinId="9" hidden="1"/>
    <cellStyle name="Followed Hyperlink" xfId="14" builtinId="9" hidden="1"/>
    <cellStyle name="Followed Hyperlink" xfId="4" builtinId="9" hidden="1"/>
    <cellStyle name="Followed Hyperlink" xfId="18" builtinId="9" hidden="1"/>
    <cellStyle name="Hyperlink" xfId="13" builtinId="8" hidden="1"/>
    <cellStyle name="Hyperlink" xfId="15" builtinId="8" hidden="1"/>
    <cellStyle name="Hyperlink" xfId="17" builtinId="8" hidden="1"/>
    <cellStyle name="Hyperlink" xfId="7" builtinId="8" hidden="1"/>
    <cellStyle name="Hyperlink" xfId="9" builtinId="8" hidden="1"/>
    <cellStyle name="Hyperlink" xfId="11" builtinId="8" hidden="1"/>
    <cellStyle name="Hyperlink" xfId="3" builtinId="8" hidden="1"/>
    <cellStyle name="Hyperlink" xfId="1" builtinId="8" hidden="1"/>
    <cellStyle name="Hyperlink" xfId="5" builtinId="8" hidden="1"/>
    <cellStyle name="Normal" xfId="0" builtinId="0"/>
  </cellStyles>
  <dxfs count="89">
    <dxf>
      <font>
        <color rgb="FFFFFFCC"/>
      </font>
    </dxf>
    <dxf>
      <fill>
        <patternFill>
          <bgColor rgb="FFFFFFCC"/>
        </patternFill>
      </fill>
    </dxf>
    <dxf>
      <font>
        <color rgb="FFFFFFCC"/>
      </font>
    </dxf>
    <dxf>
      <font>
        <color theme="6" tint="0.79998168889431442"/>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1"/>
      </font>
    </dxf>
    <dxf>
      <font>
        <color theme="0"/>
      </font>
    </dxf>
    <dxf>
      <font>
        <color theme="0"/>
      </font>
    </dxf>
    <dxf>
      <font>
        <color theme="0"/>
      </font>
      <fill>
        <patternFill>
          <bgColor theme="0"/>
        </patternFill>
      </fill>
    </dxf>
    <dxf>
      <font>
        <color theme="0"/>
      </font>
    </dxf>
    <dxf>
      <font>
        <color theme="1"/>
      </font>
      <fill>
        <patternFill>
          <bgColor rgb="FFFFA3A3"/>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dxf>
    <dxf>
      <font>
        <color theme="0"/>
      </font>
    </dxf>
    <dxf>
      <font>
        <color theme="0"/>
      </font>
    </dxf>
    <dxf>
      <font>
        <color theme="0"/>
      </font>
      <fill>
        <patternFill>
          <bgColor theme="0"/>
        </patternFill>
      </fill>
    </dxf>
    <dxf>
      <fill>
        <patternFill>
          <bgColor rgb="FFFFFFCC"/>
        </patternFill>
      </fill>
    </dxf>
    <dxf>
      <font>
        <color rgb="FFFFFFCC"/>
      </font>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0"/>
      </font>
      <fill>
        <patternFill>
          <bgColor theme="0"/>
        </patternFill>
      </fill>
    </dxf>
    <dxf>
      <font>
        <color theme="0"/>
      </font>
      <fill>
        <patternFill>
          <fgColor theme="6" tint="0.79998168889431442"/>
        </patternFill>
      </fill>
    </dxf>
    <dxf>
      <font>
        <color theme="0"/>
      </font>
      <fill>
        <patternFill>
          <fgColor theme="6" tint="0.79998168889431442"/>
        </patternFill>
      </fill>
    </dxf>
    <dxf>
      <font>
        <color theme="1"/>
      </font>
    </dxf>
    <dxf>
      <font>
        <color theme="0"/>
      </font>
    </dxf>
    <dxf>
      <font>
        <color theme="0"/>
      </font>
    </dxf>
    <dxf>
      <font>
        <color theme="0"/>
      </font>
      <fill>
        <patternFill>
          <bgColor theme="0"/>
        </patternFill>
      </fill>
    </dxf>
  </dxfs>
  <tableStyles count="0" defaultTableStyle="TableStyleMedium2" defaultPivotStyle="PivotStyleLight16"/>
  <colors>
    <mruColors>
      <color rgb="FFFFFFCC"/>
      <color rgb="FFFFA3A3"/>
      <color rgb="FFFDFDFD"/>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cer.gov.au/schemes/national-greenhouse-and-energy-reporting-scheme/report-emissions-and-energy/nger-reporting"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cid:image005.jpg@01CB71E0.D8ACFE20" TargetMode="Externa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565150</xdr:colOff>
      <xdr:row>0</xdr:row>
      <xdr:rowOff>118252</xdr:rowOff>
    </xdr:from>
    <xdr:to>
      <xdr:col>2</xdr:col>
      <xdr:colOff>467698</xdr:colOff>
      <xdr:row>0</xdr:row>
      <xdr:rowOff>1421621</xdr:rowOff>
    </xdr:to>
    <xdr:pic>
      <xdr:nvPicPr>
        <xdr:cNvPr id="5"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xdr:blipFill>
      <xdr:spPr>
        <a:xfrm>
          <a:off x="565150" y="118252"/>
          <a:ext cx="9164023" cy="1300194"/>
        </a:xfrm>
        <a:prstGeom prst="rect">
          <a:avLst/>
        </a:prstGeom>
      </xdr:spPr>
    </xdr:pic>
    <xdr:clientData/>
  </xdr:twoCellAnchor>
  <xdr:twoCellAnchor>
    <xdr:from>
      <xdr:col>1</xdr:col>
      <xdr:colOff>3676650</xdr:colOff>
      <xdr:row>7</xdr:row>
      <xdr:rowOff>1419225</xdr:rowOff>
    </xdr:from>
    <xdr:to>
      <xdr:col>1</xdr:col>
      <xdr:colOff>6292850</xdr:colOff>
      <xdr:row>7</xdr:row>
      <xdr:rowOff>1952625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314825" y="11934825"/>
          <a:ext cx="2616200" cy="533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800"/>
            <a:t>Guidelines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330200</xdr:colOff>
      <xdr:row>0</xdr:row>
      <xdr:rowOff>273050</xdr:rowOff>
    </xdr:from>
    <xdr:to>
      <xdr:col>5</xdr:col>
      <xdr:colOff>0</xdr:colOff>
      <xdr:row>1</xdr:row>
      <xdr:rowOff>73025</xdr:rowOff>
    </xdr:to>
    <xdr:pic>
      <xdr:nvPicPr>
        <xdr:cNvPr id="6" name="Picture 1">
          <a:extLst>
            <a:ext uri="{FF2B5EF4-FFF2-40B4-BE49-F238E27FC236}">
              <a16:creationId xmlns:a16="http://schemas.microsoft.com/office/drawing/2014/main" id="{0B12F983-2714-404F-BE27-970C2D546DE0}"/>
            </a:ext>
          </a:extLst>
        </xdr:cNvPr>
        <xdr:cNvPicPr>
          <a:picLocks noChangeAspect="1"/>
        </xdr:cNvPicPr>
      </xdr:nvPicPr>
      <xdr:blipFill>
        <a:blip xmlns:r="http://schemas.openxmlformats.org/officeDocument/2006/relationships" r:embed="rId1"/>
        <a:srcRect/>
        <a:stretch/>
      </xdr:blipFill>
      <xdr:spPr>
        <a:xfrm>
          <a:off x="330200" y="273050"/>
          <a:ext cx="11057349" cy="1498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3333750</xdr:colOff>
      <xdr:row>5</xdr:row>
      <xdr:rowOff>838200</xdr:rowOff>
    </xdr:from>
    <xdr:to>
      <xdr:col>1</xdr:col>
      <xdr:colOff>4000501</xdr:colOff>
      <xdr:row>5</xdr:row>
      <xdr:rowOff>1081368</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943350" y="512445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123825</xdr:rowOff>
    </xdr:from>
    <xdr:to>
      <xdr:col>2</xdr:col>
      <xdr:colOff>140673</xdr:colOff>
      <xdr:row>0</xdr:row>
      <xdr:rowOff>1430369</xdr:rowOff>
    </xdr:to>
    <xdr:pic>
      <xdr:nvPicPr>
        <xdr:cNvPr id="6" name="Picture 4">
          <a:extLst>
            <a:ext uri="{FF2B5EF4-FFF2-40B4-BE49-F238E27FC236}">
              <a16:creationId xmlns:a16="http://schemas.microsoft.com/office/drawing/2014/main" id="{FF5A78BA-55FA-4103-A117-9CE16B257D19}"/>
            </a:ext>
          </a:extLst>
        </xdr:cNvPr>
        <xdr:cNvPicPr>
          <a:picLocks noChangeAspect="1"/>
        </xdr:cNvPicPr>
      </xdr:nvPicPr>
      <xdr:blipFill>
        <a:blip xmlns:r="http://schemas.openxmlformats.org/officeDocument/2006/relationships" r:embed="rId3"/>
        <a:srcRect/>
        <a:stretch/>
      </xdr:blipFill>
      <xdr:spPr>
        <a:xfrm>
          <a:off x="228600" y="123825"/>
          <a:ext cx="9640273" cy="1303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314324</xdr:rowOff>
    </xdr:from>
    <xdr:to>
      <xdr:col>14</xdr:col>
      <xdr:colOff>0</xdr:colOff>
      <xdr:row>0</xdr:row>
      <xdr:rowOff>2355849</xdr:rowOff>
    </xdr:to>
    <xdr:pic>
      <xdr:nvPicPr>
        <xdr:cNvPr id="7" name="Picture 1">
          <a:extLst>
            <a:ext uri="{FF2B5EF4-FFF2-40B4-BE49-F238E27FC236}">
              <a16:creationId xmlns:a16="http://schemas.microsoft.com/office/drawing/2014/main" id="{AA729A8A-83A9-49A2-8E2F-A6381F722B4C}"/>
            </a:ext>
          </a:extLst>
        </xdr:cNvPr>
        <xdr:cNvPicPr>
          <a:picLocks noChangeAspect="1"/>
        </xdr:cNvPicPr>
      </xdr:nvPicPr>
      <xdr:blipFill>
        <a:blip xmlns:r="http://schemas.openxmlformats.org/officeDocument/2006/relationships" r:embed="rId1"/>
        <a:srcRect/>
        <a:stretch/>
      </xdr:blipFill>
      <xdr:spPr>
        <a:xfrm>
          <a:off x="340995" y="314324"/>
          <a:ext cx="15494460" cy="2038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306914</xdr:rowOff>
    </xdr:from>
    <xdr:to>
      <xdr:col>14</xdr:col>
      <xdr:colOff>0</xdr:colOff>
      <xdr:row>0</xdr:row>
      <xdr:rowOff>2412999</xdr:rowOff>
    </xdr:to>
    <xdr:pic>
      <xdr:nvPicPr>
        <xdr:cNvPr id="8" name="Picture 2">
          <a:extLst>
            <a:ext uri="{FF2B5EF4-FFF2-40B4-BE49-F238E27FC236}">
              <a16:creationId xmlns:a16="http://schemas.microsoft.com/office/drawing/2014/main" id="{2246784D-E1E1-4521-A7B8-A36890145834}"/>
            </a:ext>
          </a:extLst>
        </xdr:cNvPr>
        <xdr:cNvPicPr>
          <a:picLocks noChangeAspect="1"/>
        </xdr:cNvPicPr>
      </xdr:nvPicPr>
      <xdr:blipFill>
        <a:blip xmlns:r="http://schemas.openxmlformats.org/officeDocument/2006/relationships" r:embed="rId1"/>
        <a:srcRect/>
        <a:stretch/>
      </xdr:blipFill>
      <xdr:spPr>
        <a:xfrm>
          <a:off x="0" y="306914"/>
          <a:ext cx="16192500" cy="2102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14</xdr:col>
      <xdr:colOff>0</xdr:colOff>
      <xdr:row>0</xdr:row>
      <xdr:rowOff>2339975</xdr:rowOff>
    </xdr:to>
    <xdr:pic>
      <xdr:nvPicPr>
        <xdr:cNvPr id="5" name="Picture 2">
          <a:extLst>
            <a:ext uri="{FF2B5EF4-FFF2-40B4-BE49-F238E27FC236}">
              <a16:creationId xmlns:a16="http://schemas.microsoft.com/office/drawing/2014/main" id="{6DB2E2BA-2D2B-46A8-914B-89CDBBA3EE86}"/>
            </a:ext>
          </a:extLst>
        </xdr:cNvPr>
        <xdr:cNvPicPr>
          <a:picLocks noChangeAspect="1"/>
        </xdr:cNvPicPr>
      </xdr:nvPicPr>
      <xdr:blipFill>
        <a:blip xmlns:r="http://schemas.openxmlformats.org/officeDocument/2006/relationships" r:embed="rId1"/>
        <a:srcRect/>
        <a:stretch/>
      </xdr:blipFill>
      <xdr:spPr>
        <a:xfrm>
          <a:off x="0" y="200025"/>
          <a:ext cx="15906750" cy="213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139064</xdr:rowOff>
    </xdr:from>
    <xdr:to>
      <xdr:col>14</xdr:col>
      <xdr:colOff>0</xdr:colOff>
      <xdr:row>0</xdr:row>
      <xdr:rowOff>2380436</xdr:rowOff>
    </xdr:to>
    <xdr:pic>
      <xdr:nvPicPr>
        <xdr:cNvPr id="6" name="Picture 2">
          <a:extLst>
            <a:ext uri="{FF2B5EF4-FFF2-40B4-BE49-F238E27FC236}">
              <a16:creationId xmlns:a16="http://schemas.microsoft.com/office/drawing/2014/main" id="{90E96214-9D1A-438F-8539-E74B1B9A776A}"/>
            </a:ext>
          </a:extLst>
        </xdr:cNvPr>
        <xdr:cNvPicPr>
          <a:picLocks noChangeAspect="1"/>
        </xdr:cNvPicPr>
      </xdr:nvPicPr>
      <xdr:blipFill>
        <a:blip xmlns:r="http://schemas.openxmlformats.org/officeDocument/2006/relationships" r:embed="rId1"/>
        <a:srcRect/>
        <a:stretch/>
      </xdr:blipFill>
      <xdr:spPr>
        <a:xfrm>
          <a:off x="0" y="139064"/>
          <a:ext cx="15628620" cy="22413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203835</xdr:rowOff>
    </xdr:from>
    <xdr:to>
      <xdr:col>14</xdr:col>
      <xdr:colOff>0</xdr:colOff>
      <xdr:row>0</xdr:row>
      <xdr:rowOff>2334878</xdr:rowOff>
    </xdr:to>
    <xdr:pic>
      <xdr:nvPicPr>
        <xdr:cNvPr id="6" name="Picture 2">
          <a:extLst>
            <a:ext uri="{FF2B5EF4-FFF2-40B4-BE49-F238E27FC236}">
              <a16:creationId xmlns:a16="http://schemas.microsoft.com/office/drawing/2014/main" id="{16685290-832E-4697-9067-834206A51001}"/>
            </a:ext>
          </a:extLst>
        </xdr:cNvPr>
        <xdr:cNvPicPr>
          <a:picLocks noChangeAspect="1"/>
        </xdr:cNvPicPr>
      </xdr:nvPicPr>
      <xdr:blipFill>
        <a:blip xmlns:r="http://schemas.openxmlformats.org/officeDocument/2006/relationships" r:embed="rId1"/>
        <a:srcRect/>
        <a:stretch/>
      </xdr:blipFill>
      <xdr:spPr>
        <a:xfrm>
          <a:off x="0" y="203835"/>
          <a:ext cx="15628620" cy="2124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210185</xdr:rowOff>
    </xdr:from>
    <xdr:to>
      <xdr:col>14</xdr:col>
      <xdr:colOff>0</xdr:colOff>
      <xdr:row>0</xdr:row>
      <xdr:rowOff>2363767</xdr:rowOff>
    </xdr:to>
    <xdr:pic>
      <xdr:nvPicPr>
        <xdr:cNvPr id="6" name="Picture 2">
          <a:extLst>
            <a:ext uri="{FF2B5EF4-FFF2-40B4-BE49-F238E27FC236}">
              <a16:creationId xmlns:a16="http://schemas.microsoft.com/office/drawing/2014/main" id="{6366123C-7DBF-4104-B281-4D99E55B1672}"/>
            </a:ext>
          </a:extLst>
        </xdr:cNvPr>
        <xdr:cNvPicPr>
          <a:picLocks noChangeAspect="1"/>
        </xdr:cNvPicPr>
      </xdr:nvPicPr>
      <xdr:blipFill>
        <a:blip xmlns:r="http://schemas.openxmlformats.org/officeDocument/2006/relationships" r:embed="rId1"/>
        <a:srcRect/>
        <a:stretch/>
      </xdr:blipFill>
      <xdr:spPr>
        <a:xfrm>
          <a:off x="0" y="210185"/>
          <a:ext cx="15628620" cy="21535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12</xdr:col>
      <xdr:colOff>123825</xdr:colOff>
      <xdr:row>0</xdr:row>
      <xdr:rowOff>1702318</xdr:rowOff>
    </xdr:to>
    <xdr:pic>
      <xdr:nvPicPr>
        <xdr:cNvPr id="7" name="Picture 2">
          <a:extLst>
            <a:ext uri="{FF2B5EF4-FFF2-40B4-BE49-F238E27FC236}">
              <a16:creationId xmlns:a16="http://schemas.microsoft.com/office/drawing/2014/main" id="{9EA93612-77DA-445D-8DBE-90C5E87570DF}"/>
            </a:ext>
          </a:extLst>
        </xdr:cNvPr>
        <xdr:cNvPicPr>
          <a:picLocks noChangeAspect="1"/>
        </xdr:cNvPicPr>
      </xdr:nvPicPr>
      <xdr:blipFill>
        <a:blip xmlns:r="http://schemas.openxmlformats.org/officeDocument/2006/relationships" r:embed="rId1"/>
        <a:srcRect/>
        <a:stretch/>
      </xdr:blipFill>
      <xdr:spPr>
        <a:xfrm>
          <a:off x="85725" y="57150"/>
          <a:ext cx="12179300" cy="16483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4763</xdr:colOff>
      <xdr:row>2</xdr:row>
      <xdr:rowOff>188119</xdr:rowOff>
    </xdr:from>
    <xdr:to>
      <xdr:col>12</xdr:col>
      <xdr:colOff>1683544</xdr:colOff>
      <xdr:row>4</xdr:row>
      <xdr:rowOff>1</xdr:rowOff>
    </xdr:to>
    <xdr:sp macro="" textlink="">
      <xdr:nvSpPr>
        <xdr:cNvPr id="4" name="Rectangle 3">
          <a:extLst>
            <a:ext uri="{FF2B5EF4-FFF2-40B4-BE49-F238E27FC236}">
              <a16:creationId xmlns:a16="http://schemas.microsoft.com/office/drawing/2014/main" id="{00000000-0008-0000-0800-000004000000}"/>
            </a:ext>
          </a:extLst>
        </xdr:cNvPr>
        <xdr:cNvSpPr/>
      </xdr:nvSpPr>
      <xdr:spPr>
        <a:xfrm>
          <a:off x="12149138" y="3178969"/>
          <a:ext cx="1678781" cy="19288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252413</xdr:colOff>
      <xdr:row>7</xdr:row>
      <xdr:rowOff>4763</xdr:rowOff>
    </xdr:from>
    <xdr:to>
      <xdr:col>2</xdr:col>
      <xdr:colOff>4500563</xdr:colOff>
      <xdr:row>8</xdr:row>
      <xdr:rowOff>9525</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519113" y="3938588"/>
          <a:ext cx="4514850" cy="19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219075</xdr:colOff>
      <xdr:row>6</xdr:row>
      <xdr:rowOff>176211</xdr:rowOff>
    </xdr:from>
    <xdr:to>
      <xdr:col>5</xdr:col>
      <xdr:colOff>2380</xdr:colOff>
      <xdr:row>8</xdr:row>
      <xdr:rowOff>4763</xdr:rowOff>
    </xdr:to>
    <xdr:sp macro="" textlink="">
      <xdr:nvSpPr>
        <xdr:cNvPr id="6" name="Rectangle 5">
          <a:extLst>
            <a:ext uri="{FF2B5EF4-FFF2-40B4-BE49-F238E27FC236}">
              <a16:creationId xmlns:a16="http://schemas.microsoft.com/office/drawing/2014/main" id="{00000000-0008-0000-0800-000006000000}"/>
            </a:ext>
          </a:extLst>
        </xdr:cNvPr>
        <xdr:cNvSpPr/>
      </xdr:nvSpPr>
      <xdr:spPr>
        <a:xfrm>
          <a:off x="5257800" y="3929061"/>
          <a:ext cx="1383505" cy="2000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240506</xdr:colOff>
      <xdr:row>4</xdr:row>
      <xdr:rowOff>185738</xdr:rowOff>
    </xdr:from>
    <xdr:to>
      <xdr:col>7</xdr:col>
      <xdr:colOff>4762</xdr:colOff>
      <xdr:row>6</xdr:row>
      <xdr:rowOff>171450</xdr:rowOff>
    </xdr:to>
    <xdr:sp macro="" textlink="">
      <xdr:nvSpPr>
        <xdr:cNvPr id="7" name="Rectangle 6">
          <a:extLst>
            <a:ext uri="{FF2B5EF4-FFF2-40B4-BE49-F238E27FC236}">
              <a16:creationId xmlns:a16="http://schemas.microsoft.com/office/drawing/2014/main" id="{00000000-0008-0000-0800-000007000000}"/>
            </a:ext>
          </a:extLst>
        </xdr:cNvPr>
        <xdr:cNvSpPr/>
      </xdr:nvSpPr>
      <xdr:spPr>
        <a:xfrm>
          <a:off x="6879431" y="3557588"/>
          <a:ext cx="621506" cy="3667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209550</xdr:colOff>
      <xdr:row>5</xdr:row>
      <xdr:rowOff>6350</xdr:rowOff>
    </xdr:from>
    <xdr:to>
      <xdr:col>10</xdr:col>
      <xdr:colOff>844550</xdr:colOff>
      <xdr:row>6</xdr:row>
      <xdr:rowOff>31749</xdr:rowOff>
    </xdr:to>
    <xdr:sp macro="" textlink="">
      <xdr:nvSpPr>
        <xdr:cNvPr id="8" name="Rectangle 7">
          <a:extLst>
            <a:ext uri="{FF2B5EF4-FFF2-40B4-BE49-F238E27FC236}">
              <a16:creationId xmlns:a16="http://schemas.microsoft.com/office/drawing/2014/main" id="{00000000-0008-0000-0800-000008000000}"/>
            </a:ext>
          </a:extLst>
        </xdr:cNvPr>
        <xdr:cNvSpPr/>
      </xdr:nvSpPr>
      <xdr:spPr>
        <a:xfrm>
          <a:off x="8902700" y="3568700"/>
          <a:ext cx="2476500" cy="20954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57149</xdr:colOff>
      <xdr:row>5</xdr:row>
      <xdr:rowOff>0</xdr:rowOff>
    </xdr:from>
    <xdr:to>
      <xdr:col>13</xdr:col>
      <xdr:colOff>2380</xdr:colOff>
      <xdr:row>6</xdr:row>
      <xdr:rowOff>35718</xdr:rowOff>
    </xdr:to>
    <xdr:sp macro="" textlink="">
      <xdr:nvSpPr>
        <xdr:cNvPr id="9" name="Rectangle 8">
          <a:extLst>
            <a:ext uri="{FF2B5EF4-FFF2-40B4-BE49-F238E27FC236}">
              <a16:creationId xmlns:a16="http://schemas.microsoft.com/office/drawing/2014/main" id="{00000000-0008-0000-0800-000009000000}"/>
            </a:ext>
          </a:extLst>
        </xdr:cNvPr>
        <xdr:cNvSpPr/>
      </xdr:nvSpPr>
      <xdr:spPr>
        <a:xfrm>
          <a:off x="12201524" y="3562350"/>
          <a:ext cx="1631156"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14288</xdr:colOff>
      <xdr:row>5</xdr:row>
      <xdr:rowOff>0</xdr:rowOff>
    </xdr:from>
    <xdr:to>
      <xdr:col>13</xdr:col>
      <xdr:colOff>1547813</xdr:colOff>
      <xdr:row>6</xdr:row>
      <xdr:rowOff>35718</xdr:rowOff>
    </xdr:to>
    <xdr:sp macro="" textlink="">
      <xdr:nvSpPr>
        <xdr:cNvPr id="10" name="Rectangle 9">
          <a:extLst>
            <a:ext uri="{FF2B5EF4-FFF2-40B4-BE49-F238E27FC236}">
              <a16:creationId xmlns:a16="http://schemas.microsoft.com/office/drawing/2014/main" id="{00000000-0008-0000-0800-00000A000000}"/>
            </a:ext>
          </a:extLst>
        </xdr:cNvPr>
        <xdr:cNvSpPr/>
      </xdr:nvSpPr>
      <xdr:spPr>
        <a:xfrm>
          <a:off x="13844588" y="3562350"/>
          <a:ext cx="1533525" cy="226218"/>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15</xdr:row>
      <xdr:rowOff>4761</xdr:rowOff>
    </xdr:from>
    <xdr:to>
      <xdr:col>13</xdr:col>
      <xdr:colOff>0</xdr:colOff>
      <xdr:row>16</xdr:row>
      <xdr:rowOff>4763</xdr:rowOff>
    </xdr:to>
    <xdr:sp macro="" textlink="">
      <xdr:nvSpPr>
        <xdr:cNvPr id="11" name="Rectangle 10">
          <a:extLst>
            <a:ext uri="{FF2B5EF4-FFF2-40B4-BE49-F238E27FC236}">
              <a16:creationId xmlns:a16="http://schemas.microsoft.com/office/drawing/2014/main" id="{00000000-0008-0000-0800-00000B000000}"/>
            </a:ext>
          </a:extLst>
        </xdr:cNvPr>
        <xdr:cNvSpPr/>
      </xdr:nvSpPr>
      <xdr:spPr>
        <a:xfrm>
          <a:off x="12199144" y="5462586"/>
          <a:ext cx="1631156"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11906</xdr:colOff>
      <xdr:row>15</xdr:row>
      <xdr:rowOff>4762</xdr:rowOff>
    </xdr:from>
    <xdr:to>
      <xdr:col>13</xdr:col>
      <xdr:colOff>1552574</xdr:colOff>
      <xdr:row>16</xdr:row>
      <xdr:rowOff>4763</xdr:rowOff>
    </xdr:to>
    <xdr:sp macro="" textlink="">
      <xdr:nvSpPr>
        <xdr:cNvPr id="12" name="Rectangle 11">
          <a:extLst>
            <a:ext uri="{FF2B5EF4-FFF2-40B4-BE49-F238E27FC236}">
              <a16:creationId xmlns:a16="http://schemas.microsoft.com/office/drawing/2014/main" id="{00000000-0008-0000-0800-00000C000000}"/>
            </a:ext>
          </a:extLst>
        </xdr:cNvPr>
        <xdr:cNvSpPr/>
      </xdr:nvSpPr>
      <xdr:spPr>
        <a:xfrm>
          <a:off x="13842206" y="5462587"/>
          <a:ext cx="1540668" cy="19050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19</xdr:row>
      <xdr:rowOff>7143</xdr:rowOff>
    </xdr:from>
    <xdr:to>
      <xdr:col>2</xdr:col>
      <xdr:colOff>4500563</xdr:colOff>
      <xdr:row>20</xdr:row>
      <xdr:rowOff>14288</xdr:rowOff>
    </xdr:to>
    <xdr:sp macro="" textlink="">
      <xdr:nvSpPr>
        <xdr:cNvPr id="13" name="Rectangle 12">
          <a:extLst>
            <a:ext uri="{FF2B5EF4-FFF2-40B4-BE49-F238E27FC236}">
              <a16:creationId xmlns:a16="http://schemas.microsoft.com/office/drawing/2014/main" id="{00000000-0008-0000-0800-00000D000000}"/>
            </a:ext>
          </a:extLst>
        </xdr:cNvPr>
        <xdr:cNvSpPr/>
      </xdr:nvSpPr>
      <xdr:spPr>
        <a:xfrm>
          <a:off x="533400" y="6236493"/>
          <a:ext cx="4500563"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19050</xdr:colOff>
      <xdr:row>19</xdr:row>
      <xdr:rowOff>4760</xdr:rowOff>
    </xdr:from>
    <xdr:to>
      <xdr:col>4</xdr:col>
      <xdr:colOff>1366838</xdr:colOff>
      <xdr:row>20</xdr:row>
      <xdr:rowOff>19049</xdr:rowOff>
    </xdr:to>
    <xdr:sp macro="" textlink="">
      <xdr:nvSpPr>
        <xdr:cNvPr id="14" name="Rectangle 13">
          <a:extLst>
            <a:ext uri="{FF2B5EF4-FFF2-40B4-BE49-F238E27FC236}">
              <a16:creationId xmlns:a16="http://schemas.microsoft.com/office/drawing/2014/main" id="{00000000-0008-0000-0800-00000E000000}"/>
            </a:ext>
          </a:extLst>
        </xdr:cNvPr>
        <xdr:cNvSpPr/>
      </xdr:nvSpPr>
      <xdr:spPr>
        <a:xfrm>
          <a:off x="5286375" y="6234110"/>
          <a:ext cx="1347788"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200026</xdr:colOff>
      <xdr:row>16</xdr:row>
      <xdr:rowOff>188117</xdr:rowOff>
    </xdr:from>
    <xdr:to>
      <xdr:col>6</xdr:col>
      <xdr:colOff>604839</xdr:colOff>
      <xdr:row>18</xdr:row>
      <xdr:rowOff>176212</xdr:rowOff>
    </xdr:to>
    <xdr:sp macro="" textlink="">
      <xdr:nvSpPr>
        <xdr:cNvPr id="15" name="Rectangle 14">
          <a:extLst>
            <a:ext uri="{FF2B5EF4-FFF2-40B4-BE49-F238E27FC236}">
              <a16:creationId xmlns:a16="http://schemas.microsoft.com/office/drawing/2014/main" id="{00000000-0008-0000-0800-00000F000000}"/>
            </a:ext>
          </a:extLst>
        </xdr:cNvPr>
        <xdr:cNvSpPr/>
      </xdr:nvSpPr>
      <xdr:spPr>
        <a:xfrm>
          <a:off x="6819901" y="5831680"/>
          <a:ext cx="654844"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116682</xdr:colOff>
      <xdr:row>16</xdr:row>
      <xdr:rowOff>188118</xdr:rowOff>
    </xdr:from>
    <xdr:to>
      <xdr:col>10</xdr:col>
      <xdr:colOff>783432</xdr:colOff>
      <xdr:row>18</xdr:row>
      <xdr:rowOff>21430</xdr:rowOff>
    </xdr:to>
    <xdr:sp macro="" textlink="">
      <xdr:nvSpPr>
        <xdr:cNvPr id="16" name="Rectangle 15">
          <a:extLst>
            <a:ext uri="{FF2B5EF4-FFF2-40B4-BE49-F238E27FC236}">
              <a16:creationId xmlns:a16="http://schemas.microsoft.com/office/drawing/2014/main" id="{00000000-0008-0000-0800-000010000000}"/>
            </a:ext>
          </a:extLst>
        </xdr:cNvPr>
        <xdr:cNvSpPr/>
      </xdr:nvSpPr>
      <xdr:spPr>
        <a:xfrm>
          <a:off x="8201026" y="5831681"/>
          <a:ext cx="2381250" cy="21431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52388</xdr:colOff>
      <xdr:row>17</xdr:row>
      <xdr:rowOff>2380</xdr:rowOff>
    </xdr:from>
    <xdr:to>
      <xdr:col>12</xdr:col>
      <xdr:colOff>1683544</xdr:colOff>
      <xdr:row>17</xdr:row>
      <xdr:rowOff>190499</xdr:rowOff>
    </xdr:to>
    <xdr:sp macro="" textlink="">
      <xdr:nvSpPr>
        <xdr:cNvPr id="17" name="Rectangle 16">
          <a:extLst>
            <a:ext uri="{FF2B5EF4-FFF2-40B4-BE49-F238E27FC236}">
              <a16:creationId xmlns:a16="http://schemas.microsoft.com/office/drawing/2014/main" id="{00000000-0008-0000-0800-000011000000}"/>
            </a:ext>
          </a:extLst>
        </xdr:cNvPr>
        <xdr:cNvSpPr/>
      </xdr:nvSpPr>
      <xdr:spPr>
        <a:xfrm>
          <a:off x="12196763" y="5841205"/>
          <a:ext cx="1631156"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4763</xdr:colOff>
      <xdr:row>17</xdr:row>
      <xdr:rowOff>2381</xdr:rowOff>
    </xdr:from>
    <xdr:to>
      <xdr:col>13</xdr:col>
      <xdr:colOff>1547812</xdr:colOff>
      <xdr:row>18</xdr:row>
      <xdr:rowOff>0</xdr:rowOff>
    </xdr:to>
    <xdr:sp macro="" textlink="">
      <xdr:nvSpPr>
        <xdr:cNvPr id="18" name="Rectangle 17">
          <a:extLst>
            <a:ext uri="{FF2B5EF4-FFF2-40B4-BE49-F238E27FC236}">
              <a16:creationId xmlns:a16="http://schemas.microsoft.com/office/drawing/2014/main" id="{00000000-0008-0000-0800-000012000000}"/>
            </a:ext>
          </a:extLst>
        </xdr:cNvPr>
        <xdr:cNvSpPr/>
      </xdr:nvSpPr>
      <xdr:spPr>
        <a:xfrm>
          <a:off x="13835063" y="5841206"/>
          <a:ext cx="1543049" cy="18811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59533</xdr:colOff>
      <xdr:row>26</xdr:row>
      <xdr:rowOff>188117</xdr:rowOff>
    </xdr:from>
    <xdr:to>
      <xdr:col>13</xdr:col>
      <xdr:colOff>1</xdr:colOff>
      <xdr:row>28</xdr:row>
      <xdr:rowOff>33335</xdr:rowOff>
    </xdr:to>
    <xdr:sp macro="" textlink="">
      <xdr:nvSpPr>
        <xdr:cNvPr id="19" name="Rectangle 18">
          <a:extLst>
            <a:ext uri="{FF2B5EF4-FFF2-40B4-BE49-F238E27FC236}">
              <a16:creationId xmlns:a16="http://schemas.microsoft.com/office/drawing/2014/main" id="{00000000-0008-0000-0800-000013000000}"/>
            </a:ext>
          </a:extLst>
        </xdr:cNvPr>
        <xdr:cNvSpPr/>
      </xdr:nvSpPr>
      <xdr:spPr>
        <a:xfrm>
          <a:off x="12208306" y="7752827"/>
          <a:ext cx="1626820"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7540</xdr:colOff>
      <xdr:row>26</xdr:row>
      <xdr:rowOff>188118</xdr:rowOff>
    </xdr:from>
    <xdr:to>
      <xdr:col>13</xdr:col>
      <xdr:colOff>1553153</xdr:colOff>
      <xdr:row>28</xdr:row>
      <xdr:rowOff>33336</xdr:rowOff>
    </xdr:to>
    <xdr:sp macro="" textlink="">
      <xdr:nvSpPr>
        <xdr:cNvPr id="20" name="Rectangle 19">
          <a:extLst>
            <a:ext uri="{FF2B5EF4-FFF2-40B4-BE49-F238E27FC236}">
              <a16:creationId xmlns:a16="http://schemas.microsoft.com/office/drawing/2014/main" id="{00000000-0008-0000-0800-000014000000}"/>
            </a:ext>
          </a:extLst>
        </xdr:cNvPr>
        <xdr:cNvSpPr/>
      </xdr:nvSpPr>
      <xdr:spPr>
        <a:xfrm>
          <a:off x="13842665" y="7752828"/>
          <a:ext cx="1545613" cy="227223"/>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261938</xdr:colOff>
      <xdr:row>30</xdr:row>
      <xdr:rowOff>188118</xdr:rowOff>
    </xdr:from>
    <xdr:to>
      <xdr:col>2</xdr:col>
      <xdr:colOff>4500563</xdr:colOff>
      <xdr:row>32</xdr:row>
      <xdr:rowOff>4764</xdr:rowOff>
    </xdr:to>
    <xdr:sp macro="" textlink="">
      <xdr:nvSpPr>
        <xdr:cNvPr id="21" name="Rectangle 20">
          <a:extLst>
            <a:ext uri="{FF2B5EF4-FFF2-40B4-BE49-F238E27FC236}">
              <a16:creationId xmlns:a16="http://schemas.microsoft.com/office/drawing/2014/main" id="{00000000-0008-0000-0800-000015000000}"/>
            </a:ext>
          </a:extLst>
        </xdr:cNvPr>
        <xdr:cNvSpPr/>
      </xdr:nvSpPr>
      <xdr:spPr>
        <a:xfrm>
          <a:off x="528638" y="8503443"/>
          <a:ext cx="4505325" cy="19764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4</xdr:col>
      <xdr:colOff>0</xdr:colOff>
      <xdr:row>30</xdr:row>
      <xdr:rowOff>190499</xdr:rowOff>
    </xdr:from>
    <xdr:to>
      <xdr:col>4</xdr:col>
      <xdr:colOff>1369219</xdr:colOff>
      <xdr:row>32</xdr:row>
      <xdr:rowOff>1</xdr:rowOff>
    </xdr:to>
    <xdr:sp macro="" textlink="">
      <xdr:nvSpPr>
        <xdr:cNvPr id="22" name="Rectangle 21">
          <a:extLst>
            <a:ext uri="{FF2B5EF4-FFF2-40B4-BE49-F238E27FC236}">
              <a16:creationId xmlns:a16="http://schemas.microsoft.com/office/drawing/2014/main" id="{00000000-0008-0000-0800-000016000000}"/>
            </a:ext>
          </a:extLst>
        </xdr:cNvPr>
        <xdr:cNvSpPr/>
      </xdr:nvSpPr>
      <xdr:spPr>
        <a:xfrm>
          <a:off x="5267325" y="8505824"/>
          <a:ext cx="1369219" cy="19050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228599</xdr:colOff>
      <xdr:row>29</xdr:row>
      <xdr:rowOff>2379</xdr:rowOff>
    </xdr:from>
    <xdr:to>
      <xdr:col>7</xdr:col>
      <xdr:colOff>794</xdr:colOff>
      <xdr:row>30</xdr:row>
      <xdr:rowOff>176213</xdr:rowOff>
    </xdr:to>
    <xdr:sp macro="" textlink="">
      <xdr:nvSpPr>
        <xdr:cNvPr id="23" name="Rectangle 22">
          <a:extLst>
            <a:ext uri="{FF2B5EF4-FFF2-40B4-BE49-F238E27FC236}">
              <a16:creationId xmlns:a16="http://schemas.microsoft.com/office/drawing/2014/main" id="{00000000-0008-0000-0800-000017000000}"/>
            </a:ext>
          </a:extLst>
        </xdr:cNvPr>
        <xdr:cNvSpPr/>
      </xdr:nvSpPr>
      <xdr:spPr>
        <a:xfrm>
          <a:off x="6867524" y="8127204"/>
          <a:ext cx="629445" cy="36433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195263</xdr:colOff>
      <xdr:row>29</xdr:row>
      <xdr:rowOff>2380</xdr:rowOff>
    </xdr:from>
    <xdr:to>
      <xdr:col>11</xdr:col>
      <xdr:colOff>2383</xdr:colOff>
      <xdr:row>30</xdr:row>
      <xdr:rowOff>0</xdr:rowOff>
    </xdr:to>
    <xdr:sp macro="" textlink="">
      <xdr:nvSpPr>
        <xdr:cNvPr id="24" name="Rectangle 23">
          <a:extLst>
            <a:ext uri="{FF2B5EF4-FFF2-40B4-BE49-F238E27FC236}">
              <a16:creationId xmlns:a16="http://schemas.microsoft.com/office/drawing/2014/main" id="{00000000-0008-0000-0800-000018000000}"/>
            </a:ext>
          </a:extLst>
        </xdr:cNvPr>
        <xdr:cNvSpPr/>
      </xdr:nvSpPr>
      <xdr:spPr>
        <a:xfrm>
          <a:off x="8301038" y="8127205"/>
          <a:ext cx="2312195" cy="18812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68580</xdr:colOff>
      <xdr:row>28</xdr:row>
      <xdr:rowOff>187165</xdr:rowOff>
    </xdr:from>
    <xdr:to>
      <xdr:col>13</xdr:col>
      <xdr:colOff>7620</xdr:colOff>
      <xdr:row>30</xdr:row>
      <xdr:rowOff>3810</xdr:rowOff>
    </xdr:to>
    <xdr:sp macro="" textlink="">
      <xdr:nvSpPr>
        <xdr:cNvPr id="25" name="Rectangle 24">
          <a:extLst>
            <a:ext uri="{FF2B5EF4-FFF2-40B4-BE49-F238E27FC236}">
              <a16:creationId xmlns:a16="http://schemas.microsoft.com/office/drawing/2014/main" id="{00000000-0008-0000-0800-000019000000}"/>
            </a:ext>
          </a:extLst>
        </xdr:cNvPr>
        <xdr:cNvSpPr/>
      </xdr:nvSpPr>
      <xdr:spPr>
        <a:xfrm>
          <a:off x="12222480" y="8127205"/>
          <a:ext cx="1626870" cy="19764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3811</xdr:colOff>
      <xdr:row>28</xdr:row>
      <xdr:rowOff>188118</xdr:rowOff>
    </xdr:from>
    <xdr:to>
      <xdr:col>13</xdr:col>
      <xdr:colOff>1546861</xdr:colOff>
      <xdr:row>30</xdr:row>
      <xdr:rowOff>3810</xdr:rowOff>
    </xdr:to>
    <xdr:sp macro="" textlink="">
      <xdr:nvSpPr>
        <xdr:cNvPr id="26" name="Rectangle 25">
          <a:extLst>
            <a:ext uri="{FF2B5EF4-FFF2-40B4-BE49-F238E27FC236}">
              <a16:creationId xmlns:a16="http://schemas.microsoft.com/office/drawing/2014/main" id="{00000000-0008-0000-0800-00001A000000}"/>
            </a:ext>
          </a:extLst>
        </xdr:cNvPr>
        <xdr:cNvSpPr/>
      </xdr:nvSpPr>
      <xdr:spPr>
        <a:xfrm>
          <a:off x="13845541" y="8128158"/>
          <a:ext cx="1543050" cy="19669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54769</xdr:colOff>
      <xdr:row>34</xdr:row>
      <xdr:rowOff>951</xdr:rowOff>
    </xdr:from>
    <xdr:to>
      <xdr:col>12</xdr:col>
      <xdr:colOff>1685925</xdr:colOff>
      <xdr:row>34</xdr:row>
      <xdr:rowOff>205740</xdr:rowOff>
    </xdr:to>
    <xdr:sp macro="" textlink="">
      <xdr:nvSpPr>
        <xdr:cNvPr id="27" name="Rectangle 26">
          <a:extLst>
            <a:ext uri="{FF2B5EF4-FFF2-40B4-BE49-F238E27FC236}">
              <a16:creationId xmlns:a16="http://schemas.microsoft.com/office/drawing/2014/main" id="{00000000-0008-0000-0800-00001B000000}"/>
            </a:ext>
          </a:extLst>
        </xdr:cNvPr>
        <xdr:cNvSpPr/>
      </xdr:nvSpPr>
      <xdr:spPr>
        <a:xfrm>
          <a:off x="12208669" y="9095421"/>
          <a:ext cx="1631156" cy="20478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12859</xdr:colOff>
      <xdr:row>33</xdr:row>
      <xdr:rowOff>199071</xdr:rowOff>
    </xdr:from>
    <xdr:to>
      <xdr:col>14</xdr:col>
      <xdr:colOff>952</xdr:colOff>
      <xdr:row>34</xdr:row>
      <xdr:rowOff>205740</xdr:rowOff>
    </xdr:to>
    <xdr:sp macro="" textlink="">
      <xdr:nvSpPr>
        <xdr:cNvPr id="28" name="Rectangle 27">
          <a:extLst>
            <a:ext uri="{FF2B5EF4-FFF2-40B4-BE49-F238E27FC236}">
              <a16:creationId xmlns:a16="http://schemas.microsoft.com/office/drawing/2014/main" id="{00000000-0008-0000-0800-00001C000000}"/>
            </a:ext>
          </a:extLst>
        </xdr:cNvPr>
        <xdr:cNvSpPr/>
      </xdr:nvSpPr>
      <xdr:spPr>
        <a:xfrm>
          <a:off x="13854589" y="9091611"/>
          <a:ext cx="1542573" cy="20859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38</xdr:row>
      <xdr:rowOff>5239</xdr:rowOff>
    </xdr:from>
    <xdr:to>
      <xdr:col>2</xdr:col>
      <xdr:colOff>4505802</xdr:colOff>
      <xdr:row>39</xdr:row>
      <xdr:rowOff>1</xdr:rowOff>
    </xdr:to>
    <xdr:sp macro="" textlink="">
      <xdr:nvSpPr>
        <xdr:cNvPr id="29" name="Rectangle 28">
          <a:extLst>
            <a:ext uri="{FF2B5EF4-FFF2-40B4-BE49-F238E27FC236}">
              <a16:creationId xmlns:a16="http://schemas.microsoft.com/office/drawing/2014/main" id="{00000000-0008-0000-0800-00001D000000}"/>
            </a:ext>
          </a:extLst>
        </xdr:cNvPr>
        <xdr:cNvSpPr/>
      </xdr:nvSpPr>
      <xdr:spPr>
        <a:xfrm>
          <a:off x="529590" y="9880759"/>
          <a:ext cx="4509612" cy="18526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37</xdr:row>
      <xdr:rowOff>190499</xdr:rowOff>
    </xdr:from>
    <xdr:to>
      <xdr:col>5</xdr:col>
      <xdr:colOff>1906</xdr:colOff>
      <xdr:row>39</xdr:row>
      <xdr:rowOff>3810</xdr:rowOff>
    </xdr:to>
    <xdr:sp macro="" textlink="">
      <xdr:nvSpPr>
        <xdr:cNvPr id="30" name="Rectangle 29">
          <a:extLst>
            <a:ext uri="{FF2B5EF4-FFF2-40B4-BE49-F238E27FC236}">
              <a16:creationId xmlns:a16="http://schemas.microsoft.com/office/drawing/2014/main" id="{00000000-0008-0000-0800-00001E000000}"/>
            </a:ext>
          </a:extLst>
        </xdr:cNvPr>
        <xdr:cNvSpPr/>
      </xdr:nvSpPr>
      <xdr:spPr>
        <a:xfrm>
          <a:off x="5265420" y="9875519"/>
          <a:ext cx="1377316" cy="194311"/>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6</xdr:col>
      <xdr:colOff>11429</xdr:colOff>
      <xdr:row>36</xdr:row>
      <xdr:rowOff>475</xdr:rowOff>
    </xdr:from>
    <xdr:to>
      <xdr:col>7</xdr:col>
      <xdr:colOff>1906</xdr:colOff>
      <xdr:row>37</xdr:row>
      <xdr:rowOff>186690</xdr:rowOff>
    </xdr:to>
    <xdr:sp macro="" textlink="">
      <xdr:nvSpPr>
        <xdr:cNvPr id="31" name="Rectangle 30">
          <a:extLst>
            <a:ext uri="{FF2B5EF4-FFF2-40B4-BE49-F238E27FC236}">
              <a16:creationId xmlns:a16="http://schemas.microsoft.com/office/drawing/2014/main" id="{00000000-0008-0000-0800-00001F000000}"/>
            </a:ext>
          </a:extLst>
        </xdr:cNvPr>
        <xdr:cNvSpPr/>
      </xdr:nvSpPr>
      <xdr:spPr>
        <a:xfrm>
          <a:off x="6899909" y="9494995"/>
          <a:ext cx="600077" cy="37671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9526</xdr:colOff>
      <xdr:row>36</xdr:row>
      <xdr:rowOff>476</xdr:rowOff>
    </xdr:from>
    <xdr:to>
      <xdr:col>13</xdr:col>
      <xdr:colOff>1552099</xdr:colOff>
      <xdr:row>37</xdr:row>
      <xdr:rowOff>15240</xdr:rowOff>
    </xdr:to>
    <xdr:sp macro="" textlink="">
      <xdr:nvSpPr>
        <xdr:cNvPr id="32" name="Rectangle 31">
          <a:extLst>
            <a:ext uri="{FF2B5EF4-FFF2-40B4-BE49-F238E27FC236}">
              <a16:creationId xmlns:a16="http://schemas.microsoft.com/office/drawing/2014/main" id="{00000000-0008-0000-0800-000020000000}"/>
            </a:ext>
          </a:extLst>
        </xdr:cNvPr>
        <xdr:cNvSpPr/>
      </xdr:nvSpPr>
      <xdr:spPr>
        <a:xfrm>
          <a:off x="13851256" y="9494996"/>
          <a:ext cx="1542573" cy="20526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1672590</xdr:colOff>
      <xdr:row>42</xdr:row>
      <xdr:rowOff>5238</xdr:rowOff>
    </xdr:from>
    <xdr:to>
      <xdr:col>13</xdr:col>
      <xdr:colOff>1545907</xdr:colOff>
      <xdr:row>42</xdr:row>
      <xdr:rowOff>186690</xdr:rowOff>
    </xdr:to>
    <xdr:sp macro="" textlink="">
      <xdr:nvSpPr>
        <xdr:cNvPr id="33" name="Rectangle 32">
          <a:extLst>
            <a:ext uri="{FF2B5EF4-FFF2-40B4-BE49-F238E27FC236}">
              <a16:creationId xmlns:a16="http://schemas.microsoft.com/office/drawing/2014/main" id="{00000000-0008-0000-0800-000021000000}"/>
            </a:ext>
          </a:extLst>
        </xdr:cNvPr>
        <xdr:cNvSpPr/>
      </xdr:nvSpPr>
      <xdr:spPr>
        <a:xfrm>
          <a:off x="13826490" y="10642758"/>
          <a:ext cx="1561147" cy="181452"/>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45</xdr:row>
      <xdr:rowOff>187643</xdr:rowOff>
    </xdr:from>
    <xdr:to>
      <xdr:col>3</xdr:col>
      <xdr:colOff>4287</xdr:colOff>
      <xdr:row>46</xdr:row>
      <xdr:rowOff>179070</xdr:rowOff>
    </xdr:to>
    <xdr:sp macro="" textlink="">
      <xdr:nvSpPr>
        <xdr:cNvPr id="34" name="Rectangle 33">
          <a:extLst>
            <a:ext uri="{FF2B5EF4-FFF2-40B4-BE49-F238E27FC236}">
              <a16:creationId xmlns:a16="http://schemas.microsoft.com/office/drawing/2014/main" id="{00000000-0008-0000-0800-000022000000}"/>
            </a:ext>
          </a:extLst>
        </xdr:cNvPr>
        <xdr:cNvSpPr/>
      </xdr:nvSpPr>
      <xdr:spPr>
        <a:xfrm>
          <a:off x="533400" y="11396663"/>
          <a:ext cx="4511517" cy="18192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224790</xdr:colOff>
      <xdr:row>45</xdr:row>
      <xdr:rowOff>190025</xdr:rowOff>
    </xdr:from>
    <xdr:to>
      <xdr:col>5</xdr:col>
      <xdr:colOff>3810</xdr:colOff>
      <xdr:row>46</xdr:row>
      <xdr:rowOff>186691</xdr:rowOff>
    </xdr:to>
    <xdr:sp macro="" textlink="">
      <xdr:nvSpPr>
        <xdr:cNvPr id="35" name="Rectangle 34">
          <a:extLst>
            <a:ext uri="{FF2B5EF4-FFF2-40B4-BE49-F238E27FC236}">
              <a16:creationId xmlns:a16="http://schemas.microsoft.com/office/drawing/2014/main" id="{00000000-0008-0000-0800-000023000000}"/>
            </a:ext>
          </a:extLst>
        </xdr:cNvPr>
        <xdr:cNvSpPr/>
      </xdr:nvSpPr>
      <xdr:spPr>
        <a:xfrm>
          <a:off x="5265420" y="11399045"/>
          <a:ext cx="1379220" cy="18716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240508</xdr:colOff>
      <xdr:row>44</xdr:row>
      <xdr:rowOff>0</xdr:rowOff>
    </xdr:from>
    <xdr:to>
      <xdr:col>6</xdr:col>
      <xdr:colOff>607219</xdr:colOff>
      <xdr:row>45</xdr:row>
      <xdr:rowOff>178595</xdr:rowOff>
    </xdr:to>
    <xdr:sp macro="" textlink="">
      <xdr:nvSpPr>
        <xdr:cNvPr id="36" name="Rectangle 35">
          <a:extLst>
            <a:ext uri="{FF2B5EF4-FFF2-40B4-BE49-F238E27FC236}">
              <a16:creationId xmlns:a16="http://schemas.microsoft.com/office/drawing/2014/main" id="{00000000-0008-0000-0800-000024000000}"/>
            </a:ext>
          </a:extLst>
        </xdr:cNvPr>
        <xdr:cNvSpPr/>
      </xdr:nvSpPr>
      <xdr:spPr>
        <a:xfrm>
          <a:off x="6879433" y="11010900"/>
          <a:ext cx="614361" cy="369095"/>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1672591</xdr:colOff>
      <xdr:row>44</xdr:row>
      <xdr:rowOff>1</xdr:rowOff>
    </xdr:from>
    <xdr:to>
      <xdr:col>13</xdr:col>
      <xdr:colOff>1546385</xdr:colOff>
      <xdr:row>45</xdr:row>
      <xdr:rowOff>11430</xdr:rowOff>
    </xdr:to>
    <xdr:sp macro="" textlink="">
      <xdr:nvSpPr>
        <xdr:cNvPr id="37" name="Rectangle 36">
          <a:extLst>
            <a:ext uri="{FF2B5EF4-FFF2-40B4-BE49-F238E27FC236}">
              <a16:creationId xmlns:a16="http://schemas.microsoft.com/office/drawing/2014/main" id="{00000000-0008-0000-0800-000025000000}"/>
            </a:ext>
          </a:extLst>
        </xdr:cNvPr>
        <xdr:cNvSpPr/>
      </xdr:nvSpPr>
      <xdr:spPr>
        <a:xfrm>
          <a:off x="13826491" y="11018521"/>
          <a:ext cx="1561624" cy="201929"/>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13</xdr:col>
      <xdr:colOff>1</xdr:colOff>
      <xdr:row>49</xdr:row>
      <xdr:rowOff>190023</xdr:rowOff>
    </xdr:from>
    <xdr:to>
      <xdr:col>14</xdr:col>
      <xdr:colOff>4763</xdr:colOff>
      <xdr:row>51</xdr:row>
      <xdr:rowOff>7620</xdr:rowOff>
    </xdr:to>
    <xdr:sp macro="" textlink="">
      <xdr:nvSpPr>
        <xdr:cNvPr id="38" name="Rectangle 37">
          <a:extLst>
            <a:ext uri="{FF2B5EF4-FFF2-40B4-BE49-F238E27FC236}">
              <a16:creationId xmlns:a16="http://schemas.microsoft.com/office/drawing/2014/main" id="{00000000-0008-0000-0800-000026000000}"/>
            </a:ext>
          </a:extLst>
        </xdr:cNvPr>
        <xdr:cNvSpPr/>
      </xdr:nvSpPr>
      <xdr:spPr>
        <a:xfrm>
          <a:off x="13841731" y="12161043"/>
          <a:ext cx="1559242" cy="198597"/>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3809</xdr:colOff>
      <xdr:row>53</xdr:row>
      <xdr:rowOff>188597</xdr:rowOff>
    </xdr:from>
    <xdr:to>
      <xdr:col>3</xdr:col>
      <xdr:colOff>4762</xdr:colOff>
      <xdr:row>55</xdr:row>
      <xdr:rowOff>7621</xdr:rowOff>
    </xdr:to>
    <xdr:sp macro="" textlink="">
      <xdr:nvSpPr>
        <xdr:cNvPr id="39" name="Rectangle 38">
          <a:extLst>
            <a:ext uri="{FF2B5EF4-FFF2-40B4-BE49-F238E27FC236}">
              <a16:creationId xmlns:a16="http://schemas.microsoft.com/office/drawing/2014/main" id="{00000000-0008-0000-0800-000027000000}"/>
            </a:ext>
          </a:extLst>
        </xdr:cNvPr>
        <xdr:cNvSpPr/>
      </xdr:nvSpPr>
      <xdr:spPr>
        <a:xfrm>
          <a:off x="537209" y="12921617"/>
          <a:ext cx="4508183" cy="200024"/>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605790</xdr:colOff>
      <xdr:row>53</xdr:row>
      <xdr:rowOff>190025</xdr:rowOff>
    </xdr:from>
    <xdr:to>
      <xdr:col>10</xdr:col>
      <xdr:colOff>785813</xdr:colOff>
      <xdr:row>55</xdr:row>
      <xdr:rowOff>1</xdr:rowOff>
    </xdr:to>
    <xdr:sp macro="" textlink="">
      <xdr:nvSpPr>
        <xdr:cNvPr id="40" name="Rectangle 39">
          <a:extLst>
            <a:ext uri="{FF2B5EF4-FFF2-40B4-BE49-F238E27FC236}">
              <a16:creationId xmlns:a16="http://schemas.microsoft.com/office/drawing/2014/main" id="{00000000-0008-0000-0800-000028000000}"/>
            </a:ext>
          </a:extLst>
        </xdr:cNvPr>
        <xdr:cNvSpPr/>
      </xdr:nvSpPr>
      <xdr:spPr>
        <a:xfrm>
          <a:off x="8103870" y="12923045"/>
          <a:ext cx="2507933" cy="19097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13607</xdr:colOff>
      <xdr:row>58</xdr:row>
      <xdr:rowOff>180703</xdr:rowOff>
    </xdr:from>
    <xdr:to>
      <xdr:col>14</xdr:col>
      <xdr:colOff>17416</xdr:colOff>
      <xdr:row>60</xdr:row>
      <xdr:rowOff>184513</xdr:rowOff>
    </xdr:to>
    <xdr:sp macro="" textlink="">
      <xdr:nvSpPr>
        <xdr:cNvPr id="41" name="Rectangle 40">
          <a:extLst>
            <a:ext uri="{FF2B5EF4-FFF2-40B4-BE49-F238E27FC236}">
              <a16:creationId xmlns:a16="http://schemas.microsoft.com/office/drawing/2014/main" id="{00000000-0008-0000-0800-000029000000}"/>
            </a:ext>
          </a:extLst>
        </xdr:cNvPr>
        <xdr:cNvSpPr/>
      </xdr:nvSpPr>
      <xdr:spPr>
        <a:xfrm>
          <a:off x="557893" y="13855882"/>
          <a:ext cx="14876416" cy="384810"/>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262890</xdr:colOff>
      <xdr:row>66</xdr:row>
      <xdr:rowOff>188119</xdr:rowOff>
    </xdr:from>
    <xdr:to>
      <xdr:col>13</xdr:col>
      <xdr:colOff>1545430</xdr:colOff>
      <xdr:row>69</xdr:row>
      <xdr:rowOff>9525</xdr:rowOff>
    </xdr:to>
    <xdr:sp macro="" textlink="">
      <xdr:nvSpPr>
        <xdr:cNvPr id="42" name="Rectangle 41">
          <a:extLst>
            <a:ext uri="{FF2B5EF4-FFF2-40B4-BE49-F238E27FC236}">
              <a16:creationId xmlns:a16="http://schemas.microsoft.com/office/drawing/2014/main" id="{00000000-0008-0000-0800-00002A000000}"/>
            </a:ext>
          </a:extLst>
        </xdr:cNvPr>
        <xdr:cNvSpPr/>
      </xdr:nvSpPr>
      <xdr:spPr>
        <a:xfrm>
          <a:off x="529590" y="15397639"/>
          <a:ext cx="14857570" cy="392906"/>
        </a:xfrm>
        <a:prstGeom prst="rect">
          <a:avLst/>
        </a:prstGeom>
        <a:solidFill>
          <a:schemeClr val="accent1">
            <a:alpha val="44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xdr:col>
      <xdr:colOff>73025</xdr:colOff>
      <xdr:row>0</xdr:row>
      <xdr:rowOff>304800</xdr:rowOff>
    </xdr:from>
    <xdr:to>
      <xdr:col>15</xdr:col>
      <xdr:colOff>330200</xdr:colOff>
      <xdr:row>0</xdr:row>
      <xdr:rowOff>2421380</xdr:rowOff>
    </xdr:to>
    <xdr:pic>
      <xdr:nvPicPr>
        <xdr:cNvPr id="47" name="Picture 42">
          <a:extLst>
            <a:ext uri="{FF2B5EF4-FFF2-40B4-BE49-F238E27FC236}">
              <a16:creationId xmlns:a16="http://schemas.microsoft.com/office/drawing/2014/main" id="{8ABEF0CF-D921-4CBA-9480-529D72516D57}"/>
            </a:ext>
          </a:extLst>
        </xdr:cNvPr>
        <xdr:cNvPicPr>
          <a:picLocks noChangeAspect="1"/>
        </xdr:cNvPicPr>
      </xdr:nvPicPr>
      <xdr:blipFill>
        <a:blip xmlns:r="http://schemas.openxmlformats.org/officeDocument/2006/relationships" r:embed="rId1"/>
        <a:srcRect/>
        <a:stretch/>
      </xdr:blipFill>
      <xdr:spPr>
        <a:xfrm>
          <a:off x="349250" y="304800"/>
          <a:ext cx="15678150" cy="2116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C8"/>
  <sheetViews>
    <sheetView showRowColHeaders="0" tabSelected="1" zoomScaleNormal="100" workbookViewId="0"/>
  </sheetViews>
  <sheetFormatPr defaultColWidth="0" defaultRowHeight="14.4" zeroHeight="1" x14ac:dyDescent="0.3"/>
  <cols>
    <col min="1" max="1" width="9.21875" style="77" customWidth="1"/>
    <col min="2" max="2" width="136.5546875" style="77" customWidth="1"/>
    <col min="3" max="3" width="9.21875" style="77" customWidth="1"/>
    <col min="4" max="16384" width="9.21875" hidden="1"/>
  </cols>
  <sheetData>
    <row r="1" spans="2:2" ht="123.75" customHeight="1" x14ac:dyDescent="0.3"/>
    <row r="2" spans="2:2" ht="21.3" customHeight="1" x14ac:dyDescent="0.3">
      <c r="B2" s="255" t="s">
        <v>348</v>
      </c>
    </row>
    <row r="3" spans="2:2" ht="9" customHeight="1" x14ac:dyDescent="0.3"/>
    <row r="4" spans="2:2" ht="403.2" x14ac:dyDescent="0.3">
      <c r="B4" s="115" t="s">
        <v>375</v>
      </c>
    </row>
    <row r="5" spans="2:2" x14ac:dyDescent="0.3">
      <c r="B5" s="115" t="s">
        <v>370</v>
      </c>
    </row>
    <row r="6" spans="2:2" ht="47.25" customHeight="1" x14ac:dyDescent="0.3">
      <c r="B6" s="229" t="s">
        <v>0</v>
      </c>
    </row>
    <row r="7" spans="2:2" ht="201.6" x14ac:dyDescent="0.3">
      <c r="B7" s="115" t="s">
        <v>350</v>
      </c>
    </row>
    <row r="8" spans="2:2" ht="175.8" customHeight="1" x14ac:dyDescent="0.3">
      <c r="B8" s="246" t="s">
        <v>349</v>
      </c>
    </row>
  </sheetData>
  <sheetProtection algorithmName="SHA-256" hashValue="sm4rDIrLQ6pjNUjUqWWLpp1Rd7U4aIaqn68cCBW/e+8=" saltValue="CoZL+py46BjHXkw5PJdWHw==" spinCount="100000" sheet="1" selectLockedCells="1" selectUnlockedCells="1"/>
  <pageMargins left="0.7" right="0.7" top="0.75" bottom="0.75" header="0.3" footer="0.3"/>
  <pageSetup paperSize="9" scale="5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104"/>
  <sheetViews>
    <sheetView showRowColHeaders="0" zoomScaleNormal="100" workbookViewId="0">
      <selection activeCell="C9" sqref="C9"/>
    </sheetView>
  </sheetViews>
  <sheetFormatPr defaultColWidth="0" defaultRowHeight="14.4" zeroHeight="1" x14ac:dyDescent="0.3"/>
  <cols>
    <col min="1" max="1" width="9.21875" style="2" customWidth="1"/>
    <col min="2" max="2" width="32.44140625" style="78" customWidth="1"/>
    <col min="3" max="3" width="89.44140625" style="78" customWidth="1"/>
    <col min="4" max="4" width="30.5546875" style="78" customWidth="1"/>
    <col min="5" max="5" width="9.21875" style="2" customWidth="1"/>
    <col min="6" max="7" width="9.21875" style="2" hidden="1" customWidth="1"/>
    <col min="8" max="8" width="53.21875" style="2" hidden="1" customWidth="1"/>
    <col min="9" max="9" width="9.21875" style="2" hidden="1" customWidth="1"/>
    <col min="10" max="10" width="12.5546875" style="2" hidden="1" customWidth="1"/>
    <col min="11" max="11" width="9.21875" style="2" hidden="1" customWidth="1"/>
    <col min="12" max="12" width="69.77734375" style="2" hidden="1" customWidth="1"/>
    <col min="13" max="17" width="9.21875" style="2" hidden="1" customWidth="1"/>
    <col min="18" max="18" width="18.44140625" style="2" hidden="1" customWidth="1"/>
    <col min="19" max="21" width="9.21875" style="2" hidden="1" customWidth="1"/>
    <col min="22" max="22" width="0" style="78" hidden="1" customWidth="1"/>
    <col min="23" max="16384" width="9.21875" style="78" hidden="1"/>
  </cols>
  <sheetData>
    <row r="1" spans="1:21" ht="133.5" customHeight="1" x14ac:dyDescent="0.3">
      <c r="B1" s="363"/>
      <c r="C1" s="363"/>
      <c r="D1" s="363"/>
    </row>
    <row r="2" spans="1:21" x14ac:dyDescent="0.3">
      <c r="B2" s="2"/>
      <c r="C2" s="2"/>
      <c r="D2" s="2"/>
    </row>
    <row r="3" spans="1:21" ht="45" customHeight="1" x14ac:dyDescent="0.3">
      <c r="B3" s="391" t="s">
        <v>243</v>
      </c>
      <c r="C3" s="391"/>
      <c r="D3" s="391"/>
    </row>
    <row r="4" spans="1:21" x14ac:dyDescent="0.3">
      <c r="B4" s="2"/>
      <c r="C4" s="2"/>
      <c r="D4" s="2"/>
    </row>
    <row r="5" spans="1:21" ht="49.8" customHeight="1" x14ac:dyDescent="0.3">
      <c r="B5" s="390" t="s">
        <v>244</v>
      </c>
      <c r="C5" s="391"/>
      <c r="D5" s="391"/>
    </row>
    <row r="6" spans="1:21" ht="14.25" customHeight="1" x14ac:dyDescent="0.3">
      <c r="B6" s="2"/>
      <c r="C6" s="2"/>
      <c r="D6" s="2"/>
    </row>
    <row r="7" spans="1:21" ht="23.4" x14ac:dyDescent="0.45">
      <c r="B7" s="126"/>
      <c r="C7" s="127" t="s">
        <v>118</v>
      </c>
      <c r="D7" s="128"/>
    </row>
    <row r="8" spans="1:21" x14ac:dyDescent="0.3">
      <c r="A8" s="9"/>
      <c r="B8" s="386" t="s">
        <v>245</v>
      </c>
      <c r="C8" s="316"/>
      <c r="D8" s="387"/>
      <c r="E8" s="9"/>
      <c r="H8" s="2" t="s">
        <v>246</v>
      </c>
      <c r="L8" s="2" t="s">
        <v>247</v>
      </c>
    </row>
    <row r="9" spans="1:21" s="224" customFormat="1" ht="20.100000000000001" customHeight="1" x14ac:dyDescent="0.3">
      <c r="A9" s="2"/>
      <c r="B9" s="129" t="s">
        <v>248</v>
      </c>
      <c r="C9" s="79" t="s">
        <v>22</v>
      </c>
      <c r="D9" s="36"/>
      <c r="E9" s="2"/>
      <c r="F9" s="9"/>
      <c r="G9" s="9"/>
      <c r="H9" s="9" t="s">
        <v>22</v>
      </c>
      <c r="I9" s="9"/>
      <c r="J9" s="9"/>
      <c r="K9" s="9"/>
      <c r="L9" s="9" t="s">
        <v>22</v>
      </c>
      <c r="M9" s="9" t="s">
        <v>22</v>
      </c>
      <c r="N9" s="9"/>
      <c r="O9" s="9"/>
      <c r="P9" s="9"/>
      <c r="Q9" s="9"/>
      <c r="R9" s="9"/>
      <c r="S9" s="9"/>
      <c r="T9" s="9"/>
      <c r="U9" s="9"/>
    </row>
    <row r="10" spans="1:21" x14ac:dyDescent="0.3">
      <c r="B10" s="129" t="s">
        <v>249</v>
      </c>
      <c r="C10" s="308"/>
      <c r="D10" s="36"/>
      <c r="H10" s="2" t="s">
        <v>250</v>
      </c>
      <c r="L10" s="2" t="s">
        <v>251</v>
      </c>
      <c r="M10" s="2" t="s">
        <v>252</v>
      </c>
    </row>
    <row r="11" spans="1:21" x14ac:dyDescent="0.3">
      <c r="B11" s="130" t="s">
        <v>253</v>
      </c>
      <c r="C11" s="307" t="str">
        <f>IF(C9="Convert kilowatt hours (kWh) to gigajoules (GJ)",C10*H12,IF(C9="Convert gigajoules (GJ) to kilowatt hours (kWh)",C10/H12,""))</f>
        <v/>
      </c>
      <c r="D11" s="131" t="str">
        <f>IF(C9="Convert kilowatt hours (kWh) to gigajoules (GJ)","gigajoules (GJ)",IF(C9="Convert gigajoules (GJ) to kilowatt hours (kWh)","kilowatt hours (kWh)",""))</f>
        <v/>
      </c>
      <c r="H11" s="2" t="s">
        <v>254</v>
      </c>
      <c r="L11" s="2" t="s">
        <v>255</v>
      </c>
      <c r="M11" s="2" t="s">
        <v>256</v>
      </c>
    </row>
    <row r="12" spans="1:21" x14ac:dyDescent="0.3">
      <c r="B12" s="132"/>
      <c r="C12" s="37"/>
      <c r="D12" s="44"/>
      <c r="H12" s="2">
        <v>3.5999999999999999E-3</v>
      </c>
      <c r="L12" s="2" t="s">
        <v>257</v>
      </c>
    </row>
    <row r="13" spans="1:21" x14ac:dyDescent="0.3">
      <c r="B13" s="2"/>
      <c r="C13" s="2"/>
      <c r="D13" s="2"/>
      <c r="L13" s="2" t="s">
        <v>258</v>
      </c>
    </row>
    <row r="14" spans="1:21" ht="23.4" x14ac:dyDescent="0.45">
      <c r="B14" s="116"/>
      <c r="C14" s="117" t="s">
        <v>368</v>
      </c>
      <c r="D14" s="118"/>
    </row>
    <row r="15" spans="1:21" x14ac:dyDescent="0.3">
      <c r="A15" s="9"/>
      <c r="B15" s="388" t="s">
        <v>259</v>
      </c>
      <c r="C15" s="316"/>
      <c r="D15" s="389"/>
      <c r="E15" s="9"/>
      <c r="H15" s="2" t="s">
        <v>260</v>
      </c>
      <c r="L15" s="2" t="s">
        <v>22</v>
      </c>
      <c r="M15" s="2" t="s">
        <v>22</v>
      </c>
      <c r="N15" s="2" t="s">
        <v>22</v>
      </c>
      <c r="O15" s="2" t="s">
        <v>22</v>
      </c>
      <c r="P15" s="2" t="s">
        <v>22</v>
      </c>
      <c r="Q15" s="2" t="s">
        <v>22</v>
      </c>
      <c r="R15" s="2" t="s">
        <v>22</v>
      </c>
    </row>
    <row r="16" spans="1:21" s="224" customFormat="1" ht="20.100000000000001" customHeight="1" x14ac:dyDescent="0.3">
      <c r="A16" s="2"/>
      <c r="B16" s="119" t="s">
        <v>248</v>
      </c>
      <c r="C16" s="79" t="s">
        <v>22</v>
      </c>
      <c r="D16" s="120"/>
      <c r="E16" s="2"/>
      <c r="F16" s="9"/>
      <c r="G16" s="9"/>
      <c r="H16" s="9" t="s">
        <v>22</v>
      </c>
      <c r="I16" s="9"/>
      <c r="J16" s="9"/>
      <c r="K16" s="9"/>
      <c r="L16" s="256" t="s">
        <v>154</v>
      </c>
      <c r="M16" s="256">
        <v>27</v>
      </c>
      <c r="N16" s="256">
        <v>90</v>
      </c>
      <c r="O16" s="256">
        <v>0.04</v>
      </c>
      <c r="P16" s="256">
        <v>0.2</v>
      </c>
      <c r="Q16" s="9" t="s">
        <v>261</v>
      </c>
      <c r="R16" s="9" t="s">
        <v>262</v>
      </c>
      <c r="S16" s="9"/>
      <c r="T16" s="9"/>
      <c r="U16" s="9"/>
    </row>
    <row r="17" spans="2:18" x14ac:dyDescent="0.3">
      <c r="B17" s="119" t="s">
        <v>263</v>
      </c>
      <c r="C17" s="80" t="s">
        <v>22</v>
      </c>
      <c r="D17" s="120"/>
      <c r="H17" s="2" t="s">
        <v>264</v>
      </c>
      <c r="L17" s="256" t="s">
        <v>240</v>
      </c>
      <c r="M17" s="256">
        <v>21</v>
      </c>
      <c r="N17" s="256">
        <v>90</v>
      </c>
      <c r="O17" s="256">
        <v>0.04</v>
      </c>
      <c r="P17" s="256">
        <v>0.2</v>
      </c>
      <c r="Q17" s="9" t="s">
        <v>261</v>
      </c>
      <c r="R17" s="9" t="s">
        <v>262</v>
      </c>
    </row>
    <row r="18" spans="2:18" x14ac:dyDescent="0.3">
      <c r="B18" s="119" t="s">
        <v>265</v>
      </c>
      <c r="C18" s="308"/>
      <c r="D18" s="120"/>
      <c r="H18" s="2" t="s">
        <v>266</v>
      </c>
      <c r="L18" s="256" t="s">
        <v>137</v>
      </c>
      <c r="M18" s="256">
        <v>29</v>
      </c>
      <c r="N18" s="256">
        <v>90</v>
      </c>
      <c r="O18" s="256">
        <v>0.04</v>
      </c>
      <c r="P18" s="256">
        <v>0.2</v>
      </c>
      <c r="Q18" s="9" t="s">
        <v>261</v>
      </c>
      <c r="R18" s="9" t="s">
        <v>262</v>
      </c>
    </row>
    <row r="19" spans="2:18" x14ac:dyDescent="0.3">
      <c r="B19" s="121" t="s">
        <v>253</v>
      </c>
      <c r="C19" s="309" t="str">
        <f>IF(C16="Convert cubic metres (m3) to gigajoules (GJ)",C18*H19,IF(C16="Convert gigajoules (GJ) to cubic metres (m3)",C18/H19,""))</f>
        <v/>
      </c>
      <c r="D19" s="122" t="str">
        <f>IF(C16="Convert cubic metres (m3) to gigajoules (GJ)","gigajoules (GJ)",IF(C16="Convert gigajoules (GJ) to cubic metres (m3)","cubic metres (m3)",""))</f>
        <v/>
      </c>
      <c r="H19" s="2" t="str">
        <f>VLOOKUP(C17,H20:I34,2,FALSE)</f>
        <v>-</v>
      </c>
      <c r="L19" s="256" t="s">
        <v>160</v>
      </c>
      <c r="M19" s="256">
        <v>10.199999999999999</v>
      </c>
      <c r="N19" s="256">
        <v>93.5</v>
      </c>
      <c r="O19" s="256">
        <v>0.02</v>
      </c>
      <c r="P19" s="256">
        <v>0.3</v>
      </c>
      <c r="Q19" s="9" t="s">
        <v>261</v>
      </c>
      <c r="R19" s="9" t="s">
        <v>262</v>
      </c>
    </row>
    <row r="20" spans="2:18" x14ac:dyDescent="0.3">
      <c r="B20" s="123"/>
      <c r="C20" s="124"/>
      <c r="D20" s="125"/>
      <c r="H20" s="2" t="s">
        <v>22</v>
      </c>
      <c r="I20" s="2" t="s">
        <v>22</v>
      </c>
      <c r="L20" s="256" t="s">
        <v>193</v>
      </c>
      <c r="M20" s="256">
        <v>30</v>
      </c>
      <c r="N20" s="256">
        <v>91.8</v>
      </c>
      <c r="O20" s="256">
        <v>0.03</v>
      </c>
      <c r="P20" s="256">
        <v>0.2</v>
      </c>
      <c r="Q20" s="9" t="s">
        <v>261</v>
      </c>
      <c r="R20" s="9" t="s">
        <v>262</v>
      </c>
    </row>
    <row r="21" spans="2:18" ht="15.6" x14ac:dyDescent="0.3">
      <c r="B21" s="2"/>
      <c r="C21" s="139"/>
      <c r="D21" s="2"/>
      <c r="H21" s="257" t="s">
        <v>220</v>
      </c>
      <c r="I21" s="2">
        <v>3.9300000000000002E-2</v>
      </c>
      <c r="J21" s="258" t="s">
        <v>267</v>
      </c>
      <c r="L21" s="256" t="s">
        <v>168</v>
      </c>
      <c r="M21" s="256">
        <v>22.1</v>
      </c>
      <c r="N21" s="256">
        <v>95</v>
      </c>
      <c r="O21" s="256">
        <v>0.08</v>
      </c>
      <c r="P21" s="256">
        <v>0.2</v>
      </c>
      <c r="Q21" s="9" t="s">
        <v>261</v>
      </c>
      <c r="R21" s="9" t="s">
        <v>262</v>
      </c>
    </row>
    <row r="22" spans="2:18" ht="23.4" x14ac:dyDescent="0.45">
      <c r="B22" s="126"/>
      <c r="C22" s="127" t="s">
        <v>369</v>
      </c>
      <c r="D22" s="128"/>
      <c r="H22" s="257" t="s">
        <v>181</v>
      </c>
      <c r="I22" s="2">
        <v>3.7699999999999997E-2</v>
      </c>
      <c r="J22" s="258" t="s">
        <v>268</v>
      </c>
      <c r="L22" s="256" t="s">
        <v>173</v>
      </c>
      <c r="M22" s="256">
        <v>27</v>
      </c>
      <c r="N22" s="256">
        <v>107</v>
      </c>
      <c r="O22" s="256">
        <v>0.03</v>
      </c>
      <c r="P22" s="256">
        <v>0.2</v>
      </c>
      <c r="Q22" s="9" t="s">
        <v>261</v>
      </c>
      <c r="R22" s="9" t="s">
        <v>262</v>
      </c>
    </row>
    <row r="23" spans="2:18" ht="15.6" x14ac:dyDescent="0.3">
      <c r="B23" s="386" t="s">
        <v>269</v>
      </c>
      <c r="C23" s="316"/>
      <c r="D23" s="387"/>
      <c r="H23" s="257" t="s">
        <v>177</v>
      </c>
      <c r="I23" s="2">
        <v>3.7699999999999997E-2</v>
      </c>
      <c r="J23" s="258" t="s">
        <v>268</v>
      </c>
      <c r="L23" s="256" t="s">
        <v>184</v>
      </c>
      <c r="M23" s="256">
        <v>37.5</v>
      </c>
      <c r="N23" s="256">
        <v>81.8</v>
      </c>
      <c r="O23" s="256">
        <v>0.03</v>
      </c>
      <c r="P23" s="256">
        <v>0.2</v>
      </c>
      <c r="Q23" s="9" t="s">
        <v>261</v>
      </c>
      <c r="R23" s="9" t="s">
        <v>262</v>
      </c>
    </row>
    <row r="24" spans="2:18" ht="20.100000000000001" customHeight="1" x14ac:dyDescent="0.3">
      <c r="B24" s="226" t="s">
        <v>270</v>
      </c>
      <c r="C24" s="82" t="s">
        <v>258</v>
      </c>
      <c r="D24" s="36"/>
      <c r="H24" s="257" t="s">
        <v>195</v>
      </c>
      <c r="I24" s="2">
        <v>3.9300000000000002E-2</v>
      </c>
      <c r="J24" s="258" t="s">
        <v>267</v>
      </c>
      <c r="L24" s="256" t="s">
        <v>233</v>
      </c>
      <c r="M24" s="256">
        <v>22.1</v>
      </c>
      <c r="N24" s="256">
        <v>95</v>
      </c>
      <c r="O24" s="256">
        <v>0.08</v>
      </c>
      <c r="P24" s="256">
        <v>0.2</v>
      </c>
      <c r="Q24" s="9" t="s">
        <v>261</v>
      </c>
      <c r="R24" s="9" t="s">
        <v>262</v>
      </c>
    </row>
    <row r="25" spans="2:18" ht="15" customHeight="1" x14ac:dyDescent="0.3">
      <c r="B25" s="226" t="s">
        <v>271</v>
      </c>
      <c r="C25" s="83" t="s">
        <v>220</v>
      </c>
      <c r="D25" s="133" t="str">
        <f>VLOOKUP(C25,L15:R103,7,FALSE)</f>
        <v>1 cubic metre equals</v>
      </c>
      <c r="H25" s="257" t="s">
        <v>114</v>
      </c>
      <c r="I25" s="2">
        <v>3.9300000000000002E-2</v>
      </c>
      <c r="J25" s="258" t="s">
        <v>267</v>
      </c>
      <c r="L25" s="256" t="s">
        <v>272</v>
      </c>
      <c r="M25" s="256">
        <v>26.3</v>
      </c>
      <c r="N25" s="256">
        <v>81.599999999999994</v>
      </c>
      <c r="O25" s="256">
        <v>0.03</v>
      </c>
      <c r="P25" s="256">
        <v>0.2</v>
      </c>
      <c r="Q25" s="9" t="s">
        <v>261</v>
      </c>
      <c r="R25" s="9" t="s">
        <v>262</v>
      </c>
    </row>
    <row r="26" spans="2:18" ht="15" customHeight="1" x14ac:dyDescent="0.3">
      <c r="B26" s="226" t="s">
        <v>273</v>
      </c>
      <c r="C26" s="84" t="s">
        <v>252</v>
      </c>
      <c r="D26" s="36"/>
      <c r="H26" s="257" t="s">
        <v>203</v>
      </c>
      <c r="I26" s="2">
        <v>6.2899999999999998E-2</v>
      </c>
      <c r="J26" s="258" t="s">
        <v>274</v>
      </c>
      <c r="L26" s="256" t="s">
        <v>321</v>
      </c>
      <c r="M26" s="256">
        <v>32</v>
      </c>
      <c r="N26" s="256">
        <v>62.8</v>
      </c>
      <c r="O26" s="256">
        <v>0.03</v>
      </c>
      <c r="P26" s="256">
        <v>0.2</v>
      </c>
      <c r="Q26" s="9" t="s">
        <v>261</v>
      </c>
      <c r="R26" s="9" t="s">
        <v>262</v>
      </c>
    </row>
    <row r="27" spans="2:18" ht="15.6" x14ac:dyDescent="0.3">
      <c r="B27" s="227" t="s">
        <v>276</v>
      </c>
      <c r="C27" s="81">
        <f>IF(C26="-","-",VLOOKUP(C25,L15:Q103,2,FALSE))</f>
        <v>3.9300000000000002E-2</v>
      </c>
      <c r="D27" s="134" t="str">
        <f>VLOOKUP(C25,L15:Q103,6,FALSE)</f>
        <v>GJ/m3</v>
      </c>
      <c r="H27" s="257" t="s">
        <v>189</v>
      </c>
      <c r="I27" s="2">
        <v>1.8100000000000002E-2</v>
      </c>
      <c r="J27" s="258" t="s">
        <v>277</v>
      </c>
      <c r="L27" s="256" t="s">
        <v>324</v>
      </c>
      <c r="M27" s="256">
        <v>27.1</v>
      </c>
      <c r="N27" s="256">
        <v>55.9</v>
      </c>
      <c r="O27" s="256">
        <v>0.03</v>
      </c>
      <c r="P27" s="256">
        <v>0.2</v>
      </c>
      <c r="Q27" s="9" t="s">
        <v>261</v>
      </c>
      <c r="R27" s="9" t="s">
        <v>262</v>
      </c>
    </row>
    <row r="28" spans="2:18" ht="15" customHeight="1" x14ac:dyDescent="0.35">
      <c r="B28" s="228" t="s">
        <v>278</v>
      </c>
      <c r="C28" s="62">
        <f>IF(C26="Combusted",VLOOKUP(C25,L15:Q103,3,FALSE),0)</f>
        <v>51.4</v>
      </c>
      <c r="D28" s="133" t="s">
        <v>279</v>
      </c>
      <c r="H28" s="257" t="s">
        <v>157</v>
      </c>
      <c r="I28" s="2">
        <v>4.0000000000000001E-3</v>
      </c>
      <c r="J28" s="258" t="s">
        <v>280</v>
      </c>
      <c r="L28" s="256" t="s">
        <v>275</v>
      </c>
      <c r="M28" s="256">
        <v>10.5</v>
      </c>
      <c r="N28" s="256">
        <v>87.1</v>
      </c>
      <c r="O28" s="256">
        <v>0.8</v>
      </c>
      <c r="P28" s="256">
        <v>1</v>
      </c>
      <c r="Q28" s="9" t="s">
        <v>261</v>
      </c>
      <c r="R28" s="9" t="s">
        <v>262</v>
      </c>
    </row>
    <row r="29" spans="2:18" ht="15" customHeight="1" x14ac:dyDescent="0.35">
      <c r="B29" s="228" t="s">
        <v>281</v>
      </c>
      <c r="C29" s="62">
        <f>IF(C26="Combusted",VLOOKUP(C25,L15:Q103,4,FALSE),0)</f>
        <v>0.1</v>
      </c>
      <c r="D29" s="133" t="s">
        <v>279</v>
      </c>
      <c r="H29" s="257" t="s">
        <v>111</v>
      </c>
      <c r="I29" s="2">
        <v>3.9E-2</v>
      </c>
      <c r="J29" s="258" t="s">
        <v>282</v>
      </c>
      <c r="L29" s="256" t="s">
        <v>201</v>
      </c>
      <c r="M29" s="256">
        <v>16.2</v>
      </c>
      <c r="N29" s="256">
        <v>0</v>
      </c>
      <c r="O29" s="256">
        <v>0.1</v>
      </c>
      <c r="P29" s="256">
        <v>1.1000000000000001</v>
      </c>
      <c r="Q29" s="9" t="s">
        <v>261</v>
      </c>
      <c r="R29" s="9" t="s">
        <v>262</v>
      </c>
    </row>
    <row r="30" spans="2:18" ht="15" customHeight="1" x14ac:dyDescent="0.35">
      <c r="B30" s="228" t="s">
        <v>283</v>
      </c>
      <c r="C30" s="62">
        <f>IF(C26="Combusted",VLOOKUP(C25,L15:Q103,5,FALSE),0)</f>
        <v>0.03</v>
      </c>
      <c r="D30" s="133" t="s">
        <v>279</v>
      </c>
      <c r="H30" s="257" t="s">
        <v>221</v>
      </c>
      <c r="I30" s="2">
        <v>25.3</v>
      </c>
      <c r="J30" s="258" t="s">
        <v>284</v>
      </c>
      <c r="L30" s="256" t="s">
        <v>208</v>
      </c>
      <c r="M30" s="256">
        <v>10.4</v>
      </c>
      <c r="N30" s="256">
        <v>0</v>
      </c>
      <c r="O30" s="256">
        <v>0.1</v>
      </c>
      <c r="P30" s="256">
        <v>1.1000000000000001</v>
      </c>
      <c r="Q30" s="9" t="s">
        <v>261</v>
      </c>
      <c r="R30" s="9" t="s">
        <v>262</v>
      </c>
    </row>
    <row r="31" spans="2:18" ht="15" customHeight="1" x14ac:dyDescent="0.3">
      <c r="B31" s="132"/>
      <c r="C31" s="135" t="str">
        <f>IF(C25="Industrial materials and tyres that are derived from fossil fuels *","* if recycled and combusted to produce heat or electricity",IF(C25="Non‑biomass municipal materials *","* if recycled and combusted to produce heat or electricity",IF(C25="Biomass municipal and industrial materials *","* if recycled and combusted to produce heat or electricity","")))</f>
        <v/>
      </c>
      <c r="D31" s="44"/>
      <c r="H31" s="257" t="s">
        <v>216</v>
      </c>
      <c r="I31" s="2">
        <v>3.9300000000000002E-2</v>
      </c>
      <c r="J31" s="258" t="s">
        <v>267</v>
      </c>
      <c r="L31" s="256" t="s">
        <v>109</v>
      </c>
      <c r="M31" s="256">
        <v>12.4</v>
      </c>
      <c r="N31" s="256">
        <v>0</v>
      </c>
      <c r="O31" s="256">
        <v>0.08</v>
      </c>
      <c r="P31" s="256">
        <v>0.5</v>
      </c>
      <c r="Q31" s="9" t="s">
        <v>261</v>
      </c>
      <c r="R31" s="9" t="s">
        <v>262</v>
      </c>
    </row>
    <row r="32" spans="2:18" ht="15" customHeight="1" x14ac:dyDescent="0.3">
      <c r="B32" s="2"/>
      <c r="C32" s="2"/>
      <c r="D32" s="2"/>
      <c r="H32" s="257" t="s">
        <v>217</v>
      </c>
      <c r="I32" s="2">
        <v>3.7699999999999997E-2</v>
      </c>
      <c r="J32" s="258" t="s">
        <v>268</v>
      </c>
      <c r="L32" s="256" t="s">
        <v>143</v>
      </c>
      <c r="M32" s="256">
        <v>9.6</v>
      </c>
      <c r="N32" s="256">
        <v>0</v>
      </c>
      <c r="O32" s="256">
        <v>0.3</v>
      </c>
      <c r="P32" s="256">
        <v>1.1000000000000001</v>
      </c>
      <c r="Q32" s="9" t="s">
        <v>261</v>
      </c>
      <c r="R32" s="9" t="s">
        <v>262</v>
      </c>
    </row>
    <row r="33" spans="8:22" ht="15.6" hidden="1" x14ac:dyDescent="0.3">
      <c r="H33" s="257" t="s">
        <v>91</v>
      </c>
      <c r="I33" s="2">
        <v>3.7699999999999997E-2</v>
      </c>
      <c r="J33" s="258" t="s">
        <v>268</v>
      </c>
      <c r="L33" s="256" t="s">
        <v>285</v>
      </c>
      <c r="M33" s="256">
        <v>12.2</v>
      </c>
      <c r="N33" s="256">
        <v>0</v>
      </c>
      <c r="O33" s="256">
        <v>0.8</v>
      </c>
      <c r="P33" s="256">
        <v>1</v>
      </c>
      <c r="Q33" s="9" t="s">
        <v>261</v>
      </c>
      <c r="R33" s="9" t="s">
        <v>262</v>
      </c>
    </row>
    <row r="34" spans="8:22" ht="16.2" hidden="1" thickBot="1" x14ac:dyDescent="0.35">
      <c r="H34" s="259" t="s">
        <v>228</v>
      </c>
      <c r="I34" s="2">
        <v>3.7699999999999997E-2</v>
      </c>
      <c r="J34" s="260" t="s">
        <v>268</v>
      </c>
      <c r="L34" s="256" t="s">
        <v>165</v>
      </c>
      <c r="M34" s="256">
        <v>31.1</v>
      </c>
      <c r="N34" s="256">
        <v>0</v>
      </c>
      <c r="O34" s="256">
        <v>5.3</v>
      </c>
      <c r="P34" s="256">
        <v>1</v>
      </c>
      <c r="Q34" s="9" t="s">
        <v>261</v>
      </c>
      <c r="R34" s="9" t="s">
        <v>262</v>
      </c>
    </row>
    <row r="35" spans="8:22" ht="15" hidden="1" thickTop="1" x14ac:dyDescent="0.3">
      <c r="L35" s="256" t="s">
        <v>232</v>
      </c>
      <c r="M35" s="256">
        <v>12.2</v>
      </c>
      <c r="N35" s="256">
        <v>0</v>
      </c>
      <c r="O35" s="256">
        <v>0.8</v>
      </c>
      <c r="P35" s="256">
        <v>1</v>
      </c>
      <c r="Q35" s="9" t="s">
        <v>261</v>
      </c>
      <c r="R35" s="9" t="s">
        <v>262</v>
      </c>
    </row>
    <row r="36" spans="8:22" hidden="1" x14ac:dyDescent="0.3">
      <c r="L36" s="256" t="s">
        <v>22</v>
      </c>
      <c r="M36" s="2" t="s">
        <v>22</v>
      </c>
      <c r="N36" s="256" t="s">
        <v>22</v>
      </c>
      <c r="O36" s="2" t="s">
        <v>22</v>
      </c>
      <c r="P36" s="256" t="s">
        <v>22</v>
      </c>
      <c r="Q36" s="9" t="s">
        <v>22</v>
      </c>
      <c r="R36" s="9" t="s">
        <v>22</v>
      </c>
    </row>
    <row r="37" spans="8:22" hidden="1" x14ac:dyDescent="0.3">
      <c r="L37" s="256" t="s">
        <v>286</v>
      </c>
      <c r="M37" s="256">
        <v>34.200000000000003</v>
      </c>
      <c r="N37" s="256">
        <v>67.400000000000006</v>
      </c>
      <c r="O37" s="256">
        <v>0.6</v>
      </c>
      <c r="P37" s="256">
        <v>1.6</v>
      </c>
      <c r="Q37" s="9" t="s">
        <v>287</v>
      </c>
      <c r="R37" s="9" t="s">
        <v>288</v>
      </c>
    </row>
    <row r="38" spans="8:22" hidden="1" x14ac:dyDescent="0.3">
      <c r="L38" s="256" t="s">
        <v>289</v>
      </c>
      <c r="M38" s="256">
        <v>38.6</v>
      </c>
      <c r="N38" s="256">
        <v>69.900000000000006</v>
      </c>
      <c r="O38" s="256">
        <v>0.1</v>
      </c>
      <c r="P38" s="256">
        <v>0.4</v>
      </c>
      <c r="Q38" s="9" t="s">
        <v>287</v>
      </c>
      <c r="R38" s="9" t="s">
        <v>288</v>
      </c>
    </row>
    <row r="39" spans="8:22" hidden="1" x14ac:dyDescent="0.3">
      <c r="L39" s="256" t="s">
        <v>290</v>
      </c>
      <c r="M39" s="256">
        <v>33.1</v>
      </c>
      <c r="N39" s="256">
        <v>67</v>
      </c>
      <c r="O39" s="256">
        <v>0.06</v>
      </c>
      <c r="P39" s="256">
        <v>0.6</v>
      </c>
      <c r="Q39" s="9" t="s">
        <v>287</v>
      </c>
      <c r="R39" s="9" t="s">
        <v>288</v>
      </c>
    </row>
    <row r="40" spans="8:22" hidden="1" x14ac:dyDescent="0.3">
      <c r="L40" s="256" t="s">
        <v>291</v>
      </c>
      <c r="M40" s="256">
        <v>36.799999999999997</v>
      </c>
      <c r="N40" s="256">
        <v>69.599999999999994</v>
      </c>
      <c r="O40" s="256">
        <v>0.01</v>
      </c>
      <c r="P40" s="256">
        <v>0.6</v>
      </c>
      <c r="Q40" s="9" t="s">
        <v>287</v>
      </c>
      <c r="R40" s="9" t="s">
        <v>288</v>
      </c>
    </row>
    <row r="41" spans="8:22" hidden="1" x14ac:dyDescent="0.3">
      <c r="L41" s="256" t="s">
        <v>292</v>
      </c>
      <c r="M41" s="256">
        <v>39.700000000000003</v>
      </c>
      <c r="N41" s="256">
        <v>73.599999999999994</v>
      </c>
      <c r="O41" s="256">
        <v>0.08</v>
      </c>
      <c r="P41" s="256">
        <v>0.5</v>
      </c>
      <c r="Q41" s="9" t="s">
        <v>287</v>
      </c>
      <c r="R41" s="9" t="s">
        <v>288</v>
      </c>
    </row>
    <row r="42" spans="8:22" hidden="1" x14ac:dyDescent="0.3">
      <c r="L42" s="256" t="s">
        <v>293</v>
      </c>
      <c r="M42" s="256">
        <v>26.2</v>
      </c>
      <c r="N42" s="256">
        <v>60.2</v>
      </c>
      <c r="O42" s="256">
        <v>0.7</v>
      </c>
      <c r="P42" s="256">
        <v>0.6</v>
      </c>
      <c r="Q42" s="9" t="s">
        <v>287</v>
      </c>
      <c r="R42" s="9" t="s">
        <v>288</v>
      </c>
    </row>
    <row r="43" spans="8:22" hidden="1" x14ac:dyDescent="0.3">
      <c r="L43" s="256" t="s">
        <v>294</v>
      </c>
      <c r="M43" s="256">
        <v>34.6</v>
      </c>
      <c r="N43" s="256">
        <v>0</v>
      </c>
      <c r="O43" s="256">
        <v>0.8</v>
      </c>
      <c r="P43" s="256">
        <v>1.7</v>
      </c>
      <c r="Q43" s="9" t="s">
        <v>287</v>
      </c>
      <c r="R43" s="9" t="s">
        <v>288</v>
      </c>
    </row>
    <row r="44" spans="8:22" hidden="1" x14ac:dyDescent="0.3">
      <c r="L44" s="256" t="s">
        <v>344</v>
      </c>
      <c r="M44" s="256">
        <v>36.799999999999997</v>
      </c>
      <c r="N44" s="256">
        <v>0</v>
      </c>
      <c r="O44" s="256">
        <v>0.01</v>
      </c>
      <c r="P44" s="256">
        <v>0.6</v>
      </c>
      <c r="Q44" s="9" t="s">
        <v>287</v>
      </c>
      <c r="R44" s="9" t="s">
        <v>288</v>
      </c>
    </row>
    <row r="45" spans="8:22" hidden="1" x14ac:dyDescent="0.3">
      <c r="L45" s="256" t="s">
        <v>345</v>
      </c>
      <c r="M45" s="256">
        <v>38.6</v>
      </c>
      <c r="N45" s="256">
        <v>0</v>
      </c>
      <c r="O45" s="256">
        <v>0.1</v>
      </c>
      <c r="P45" s="256">
        <v>0.4</v>
      </c>
      <c r="Q45" s="9" t="s">
        <v>287</v>
      </c>
      <c r="R45" s="9" t="s">
        <v>288</v>
      </c>
    </row>
    <row r="46" spans="8:22" hidden="1" x14ac:dyDescent="0.3">
      <c r="L46" s="256" t="s">
        <v>295</v>
      </c>
      <c r="M46" s="256">
        <v>23.4</v>
      </c>
      <c r="N46" s="256">
        <v>0</v>
      </c>
      <c r="O46" s="256">
        <v>0.8</v>
      </c>
      <c r="P46" s="256">
        <v>1.7</v>
      </c>
      <c r="Q46" s="9" t="s">
        <v>287</v>
      </c>
      <c r="R46" s="9" t="s">
        <v>288</v>
      </c>
    </row>
    <row r="47" spans="8:22" hidden="1" x14ac:dyDescent="0.3">
      <c r="L47" s="256" t="s">
        <v>296</v>
      </c>
      <c r="M47" s="256">
        <v>23.4</v>
      </c>
      <c r="N47" s="256">
        <v>0</v>
      </c>
      <c r="O47" s="256">
        <v>0.8</v>
      </c>
      <c r="P47" s="256">
        <v>1.7</v>
      </c>
      <c r="Q47" s="9" t="s">
        <v>287</v>
      </c>
      <c r="R47" s="9" t="s">
        <v>288</v>
      </c>
    </row>
    <row r="48" spans="8:22" ht="28.8" hidden="1" x14ac:dyDescent="0.3">
      <c r="L48" s="256" t="s">
        <v>297</v>
      </c>
      <c r="M48" s="256">
        <v>3.9300000000000002E-2</v>
      </c>
      <c r="N48" s="256">
        <v>51.4</v>
      </c>
      <c r="O48" s="256">
        <v>7.3</v>
      </c>
      <c r="P48" s="256">
        <v>0.3</v>
      </c>
      <c r="Q48" s="9" t="s">
        <v>298</v>
      </c>
      <c r="R48" s="9" t="s">
        <v>299</v>
      </c>
      <c r="S48" s="258"/>
      <c r="U48" s="258"/>
      <c r="V48" s="225"/>
    </row>
    <row r="49" spans="12:22" ht="28.8" hidden="1" x14ac:dyDescent="0.3">
      <c r="L49" s="256" t="s">
        <v>300</v>
      </c>
      <c r="M49" s="256">
        <v>3.9300000000000002E-2</v>
      </c>
      <c r="N49" s="256">
        <v>51.4</v>
      </c>
      <c r="O49" s="256">
        <v>2.8</v>
      </c>
      <c r="P49" s="256">
        <v>0.3</v>
      </c>
      <c r="Q49" s="9" t="s">
        <v>298</v>
      </c>
      <c r="R49" s="9" t="s">
        <v>299</v>
      </c>
      <c r="S49" s="258"/>
      <c r="U49" s="258"/>
      <c r="V49" s="225"/>
    </row>
    <row r="50" spans="12:22" hidden="1" x14ac:dyDescent="0.3">
      <c r="L50" s="256" t="s">
        <v>301</v>
      </c>
      <c r="M50" s="256">
        <v>25.3</v>
      </c>
      <c r="N50" s="256">
        <v>51.4</v>
      </c>
      <c r="O50" s="256">
        <v>7.3</v>
      </c>
      <c r="P50" s="256">
        <v>0.3</v>
      </c>
      <c r="Q50" s="9" t="s">
        <v>287</v>
      </c>
      <c r="R50" s="9" t="s">
        <v>288</v>
      </c>
      <c r="S50" s="258"/>
      <c r="U50" s="258"/>
      <c r="V50" s="225"/>
    </row>
    <row r="51" spans="12:22" ht="38.25" hidden="1" customHeight="1" x14ac:dyDescent="0.3">
      <c r="L51" s="256" t="s">
        <v>302</v>
      </c>
      <c r="M51" s="256">
        <v>25.3</v>
      </c>
      <c r="N51" s="256">
        <v>51.4</v>
      </c>
      <c r="O51" s="256">
        <v>2.8</v>
      </c>
      <c r="P51" s="256">
        <v>0.3</v>
      </c>
      <c r="Q51" s="9" t="s">
        <v>287</v>
      </c>
      <c r="R51" s="9" t="s">
        <v>288</v>
      </c>
      <c r="S51" s="258"/>
      <c r="U51" s="258"/>
    </row>
    <row r="52" spans="12:22" hidden="1" x14ac:dyDescent="0.3">
      <c r="L52" s="256" t="s">
        <v>303</v>
      </c>
      <c r="M52" s="256">
        <v>34.200000000000003</v>
      </c>
      <c r="N52" s="256">
        <v>67.400000000000006</v>
      </c>
      <c r="O52" s="256">
        <v>0.02</v>
      </c>
      <c r="P52" s="256">
        <v>0.2</v>
      </c>
      <c r="Q52" s="9" t="s">
        <v>287</v>
      </c>
      <c r="R52" s="9" t="s">
        <v>288</v>
      </c>
    </row>
    <row r="53" spans="12:22" hidden="1" x14ac:dyDescent="0.3">
      <c r="L53" s="256" t="s">
        <v>304</v>
      </c>
      <c r="M53" s="256">
        <v>38.6</v>
      </c>
      <c r="N53" s="256">
        <v>69.900000000000006</v>
      </c>
      <c r="O53" s="256">
        <v>0.01</v>
      </c>
      <c r="P53" s="256">
        <v>0.5</v>
      </c>
      <c r="Q53" s="9" t="s">
        <v>287</v>
      </c>
      <c r="R53" s="9" t="s">
        <v>288</v>
      </c>
    </row>
    <row r="54" spans="12:22" hidden="1" x14ac:dyDescent="0.3">
      <c r="L54" s="256" t="s">
        <v>346</v>
      </c>
      <c r="M54" s="256">
        <v>38.6</v>
      </c>
      <c r="N54" s="256">
        <v>0</v>
      </c>
      <c r="O54" s="256">
        <v>0.1</v>
      </c>
      <c r="P54" s="256">
        <v>0.5</v>
      </c>
      <c r="Q54" s="9" t="s">
        <v>287</v>
      </c>
      <c r="R54" s="9" t="s">
        <v>288</v>
      </c>
    </row>
    <row r="55" spans="12:22" hidden="1" x14ac:dyDescent="0.3">
      <c r="L55" s="256" t="s">
        <v>305</v>
      </c>
      <c r="M55" s="256">
        <v>26.2</v>
      </c>
      <c r="N55" s="256">
        <v>60.2</v>
      </c>
      <c r="O55" s="256">
        <v>0.5</v>
      </c>
      <c r="P55" s="256">
        <v>0.3</v>
      </c>
      <c r="Q55" s="9" t="s">
        <v>287</v>
      </c>
      <c r="R55" s="9" t="s">
        <v>288</v>
      </c>
    </row>
    <row r="56" spans="12:22" hidden="1" x14ac:dyDescent="0.3">
      <c r="L56" s="256" t="s">
        <v>306</v>
      </c>
      <c r="M56" s="256">
        <v>23.4</v>
      </c>
      <c r="N56" s="256">
        <v>0</v>
      </c>
      <c r="O56" s="256">
        <v>0.2</v>
      </c>
      <c r="P56" s="256">
        <v>0.2</v>
      </c>
      <c r="Q56" s="9" t="s">
        <v>287</v>
      </c>
      <c r="R56" s="9" t="s">
        <v>288</v>
      </c>
    </row>
    <row r="57" spans="12:22" hidden="1" x14ac:dyDescent="0.3">
      <c r="L57" s="256" t="s">
        <v>307</v>
      </c>
      <c r="M57" s="256">
        <v>38.6</v>
      </c>
      <c r="N57" s="256">
        <v>69.900000000000006</v>
      </c>
      <c r="O57" s="256">
        <v>7.0000000000000007E-2</v>
      </c>
      <c r="P57" s="256">
        <v>0.4</v>
      </c>
      <c r="Q57" s="9" t="s">
        <v>287</v>
      </c>
      <c r="R57" s="9" t="s">
        <v>288</v>
      </c>
    </row>
    <row r="58" spans="12:22" hidden="1" x14ac:dyDescent="0.3">
      <c r="L58" s="256" t="s">
        <v>337</v>
      </c>
      <c r="M58" s="256">
        <v>38.6</v>
      </c>
      <c r="N58" s="256">
        <v>0</v>
      </c>
      <c r="O58" s="256">
        <v>7.0000000000000007E-2</v>
      </c>
      <c r="P58" s="256">
        <v>0.4</v>
      </c>
      <c r="Q58" s="9" t="s">
        <v>287</v>
      </c>
      <c r="R58" s="9" t="s">
        <v>288</v>
      </c>
    </row>
    <row r="59" spans="12:22" hidden="1" x14ac:dyDescent="0.3">
      <c r="L59" s="256" t="s">
        <v>308</v>
      </c>
      <c r="M59" s="256">
        <v>38.6</v>
      </c>
      <c r="N59" s="256">
        <v>69.900000000000006</v>
      </c>
      <c r="O59" s="256">
        <v>0.1</v>
      </c>
      <c r="P59" s="256">
        <v>0.4</v>
      </c>
      <c r="Q59" s="9" t="s">
        <v>287</v>
      </c>
      <c r="R59" s="9" t="s">
        <v>288</v>
      </c>
    </row>
    <row r="60" spans="12:22" hidden="1" x14ac:dyDescent="0.3">
      <c r="L60" s="256" t="s">
        <v>340</v>
      </c>
      <c r="M60" s="256">
        <v>38.6</v>
      </c>
      <c r="N60" s="256">
        <v>0</v>
      </c>
      <c r="O60" s="256">
        <v>0.1</v>
      </c>
      <c r="P60" s="256">
        <v>0.4</v>
      </c>
      <c r="Q60" s="9" t="s">
        <v>287</v>
      </c>
      <c r="R60" s="9" t="s">
        <v>288</v>
      </c>
    </row>
    <row r="61" spans="12:22" hidden="1" x14ac:dyDescent="0.3">
      <c r="L61" s="256" t="s">
        <v>309</v>
      </c>
      <c r="M61" s="256">
        <v>38.6</v>
      </c>
      <c r="N61" s="256">
        <v>69.900000000000006</v>
      </c>
      <c r="O61" s="256">
        <v>0.2</v>
      </c>
      <c r="P61" s="256">
        <v>0.4</v>
      </c>
      <c r="Q61" s="9" t="s">
        <v>287</v>
      </c>
      <c r="R61" s="9" t="s">
        <v>288</v>
      </c>
    </row>
    <row r="62" spans="12:22" hidden="1" x14ac:dyDescent="0.3">
      <c r="L62" s="256" t="s">
        <v>341</v>
      </c>
      <c r="M62" s="256">
        <v>38.6</v>
      </c>
      <c r="N62" s="256">
        <v>0</v>
      </c>
      <c r="O62" s="256">
        <v>0.2</v>
      </c>
      <c r="P62" s="256">
        <v>0.4</v>
      </c>
      <c r="Q62" s="9" t="s">
        <v>287</v>
      </c>
      <c r="R62" s="9" t="s">
        <v>288</v>
      </c>
    </row>
    <row r="63" spans="12:22" hidden="1" x14ac:dyDescent="0.3">
      <c r="L63" s="256" t="s">
        <v>22</v>
      </c>
      <c r="M63" s="2" t="s">
        <v>22</v>
      </c>
      <c r="N63" s="2" t="s">
        <v>22</v>
      </c>
      <c r="O63" s="2" t="s">
        <v>22</v>
      </c>
      <c r="P63" s="2" t="s">
        <v>22</v>
      </c>
      <c r="Q63" s="9" t="s">
        <v>22</v>
      </c>
      <c r="R63" s="9" t="s">
        <v>288</v>
      </c>
    </row>
    <row r="64" spans="12:22" hidden="1" x14ac:dyDescent="0.3">
      <c r="L64" s="256" t="s">
        <v>75</v>
      </c>
      <c r="M64" s="256">
        <v>38.799999999999997</v>
      </c>
      <c r="N64" s="256">
        <v>13.9</v>
      </c>
      <c r="O64" s="256">
        <v>0</v>
      </c>
      <c r="P64" s="256">
        <v>0</v>
      </c>
      <c r="Q64" s="9" t="s">
        <v>287</v>
      </c>
      <c r="R64" s="9" t="s">
        <v>288</v>
      </c>
    </row>
    <row r="65" spans="12:18" hidden="1" x14ac:dyDescent="0.3">
      <c r="L65" s="256" t="s">
        <v>236</v>
      </c>
      <c r="M65" s="256">
        <v>38.799999999999997</v>
      </c>
      <c r="N65" s="256">
        <v>3.5</v>
      </c>
      <c r="O65" s="256">
        <v>0</v>
      </c>
      <c r="P65" s="256">
        <v>0</v>
      </c>
      <c r="Q65" s="9" t="s">
        <v>287</v>
      </c>
      <c r="R65" s="9" t="s">
        <v>288</v>
      </c>
    </row>
    <row r="66" spans="12:18" hidden="1" x14ac:dyDescent="0.3">
      <c r="L66" s="256" t="s">
        <v>199</v>
      </c>
      <c r="M66" s="256">
        <v>45.3</v>
      </c>
      <c r="N66" s="256">
        <v>69.599999999999994</v>
      </c>
      <c r="O66" s="256">
        <v>0.08</v>
      </c>
      <c r="P66" s="256">
        <v>0.2</v>
      </c>
      <c r="Q66" s="9" t="s">
        <v>261</v>
      </c>
      <c r="R66" s="9" t="s">
        <v>262</v>
      </c>
    </row>
    <row r="67" spans="12:18" hidden="1" x14ac:dyDescent="0.3">
      <c r="L67" s="256" t="s">
        <v>229</v>
      </c>
      <c r="M67" s="256">
        <v>46.5</v>
      </c>
      <c r="N67" s="256">
        <v>61</v>
      </c>
      <c r="O67" s="256">
        <v>0.08</v>
      </c>
      <c r="P67" s="256">
        <v>0.2</v>
      </c>
      <c r="Q67" s="9" t="s">
        <v>261</v>
      </c>
      <c r="R67" s="9" t="s">
        <v>262</v>
      </c>
    </row>
    <row r="68" spans="12:18" hidden="1" x14ac:dyDescent="0.3">
      <c r="L68" s="256" t="s">
        <v>180</v>
      </c>
      <c r="M68" s="256">
        <v>34.200000000000003</v>
      </c>
      <c r="N68" s="256">
        <v>67.400000000000006</v>
      </c>
      <c r="O68" s="256">
        <v>0.2</v>
      </c>
      <c r="P68" s="256">
        <v>0.2</v>
      </c>
      <c r="Q68" s="9" t="s">
        <v>287</v>
      </c>
      <c r="R68" s="9" t="s">
        <v>288</v>
      </c>
    </row>
    <row r="69" spans="12:18" hidden="1" x14ac:dyDescent="0.3">
      <c r="L69" s="256" t="s">
        <v>207</v>
      </c>
      <c r="M69" s="256">
        <v>33.1</v>
      </c>
      <c r="N69" s="256">
        <v>67</v>
      </c>
      <c r="O69" s="256">
        <v>0.2</v>
      </c>
      <c r="P69" s="256">
        <v>0.2</v>
      </c>
      <c r="Q69" s="9" t="s">
        <v>287</v>
      </c>
      <c r="R69" s="9" t="s">
        <v>288</v>
      </c>
    </row>
    <row r="70" spans="12:18" hidden="1" x14ac:dyDescent="0.3">
      <c r="L70" s="256" t="s">
        <v>214</v>
      </c>
      <c r="M70" s="256">
        <v>37.5</v>
      </c>
      <c r="N70" s="256">
        <v>68.900000000000006</v>
      </c>
      <c r="O70" s="256">
        <v>0.01</v>
      </c>
      <c r="P70" s="256">
        <v>0.2</v>
      </c>
      <c r="Q70" s="9" t="s">
        <v>287</v>
      </c>
      <c r="R70" s="9" t="s">
        <v>288</v>
      </c>
    </row>
    <row r="71" spans="12:18" hidden="1" x14ac:dyDescent="0.3">
      <c r="L71" s="256" t="s">
        <v>215</v>
      </c>
      <c r="M71" s="256">
        <v>36.799999999999997</v>
      </c>
      <c r="N71" s="256">
        <v>69.599999999999994</v>
      </c>
      <c r="O71" s="256">
        <v>0.02</v>
      </c>
      <c r="P71" s="256">
        <v>0.2</v>
      </c>
      <c r="Q71" s="9" t="s">
        <v>287</v>
      </c>
      <c r="R71" s="9" t="s">
        <v>288</v>
      </c>
    </row>
    <row r="72" spans="12:18" hidden="1" x14ac:dyDescent="0.3">
      <c r="L72" s="256" t="s">
        <v>210</v>
      </c>
      <c r="M72" s="256">
        <v>37.299999999999997</v>
      </c>
      <c r="N72" s="256">
        <v>69.5</v>
      </c>
      <c r="O72" s="256">
        <v>0.03</v>
      </c>
      <c r="P72" s="256">
        <v>0.2</v>
      </c>
      <c r="Q72" s="9" t="s">
        <v>287</v>
      </c>
      <c r="R72" s="9" t="s">
        <v>288</v>
      </c>
    </row>
    <row r="73" spans="12:18" hidden="1" x14ac:dyDescent="0.3">
      <c r="L73" s="256" t="s">
        <v>136</v>
      </c>
      <c r="M73" s="256">
        <v>38.6</v>
      </c>
      <c r="N73" s="256">
        <v>69.900000000000006</v>
      </c>
      <c r="O73" s="256">
        <v>0.1</v>
      </c>
      <c r="P73" s="256">
        <v>0.2</v>
      </c>
      <c r="Q73" s="9" t="s">
        <v>287</v>
      </c>
      <c r="R73" s="9" t="s">
        <v>288</v>
      </c>
    </row>
    <row r="74" spans="12:18" hidden="1" x14ac:dyDescent="0.3">
      <c r="L74" s="256" t="s">
        <v>170</v>
      </c>
      <c r="M74" s="256">
        <v>39.700000000000003</v>
      </c>
      <c r="N74" s="256">
        <v>73.599999999999994</v>
      </c>
      <c r="O74" s="256">
        <v>0.04</v>
      </c>
      <c r="P74" s="256">
        <v>0.2</v>
      </c>
      <c r="Q74" s="9" t="s">
        <v>287</v>
      </c>
      <c r="R74" s="9" t="s">
        <v>288</v>
      </c>
    </row>
    <row r="75" spans="12:18" hidden="1" x14ac:dyDescent="0.3">
      <c r="L75" s="256" t="s">
        <v>218</v>
      </c>
      <c r="M75" s="256">
        <v>34.4</v>
      </c>
      <c r="N75" s="256">
        <v>69.7</v>
      </c>
      <c r="O75" s="256">
        <v>0.03</v>
      </c>
      <c r="P75" s="256">
        <v>0.2</v>
      </c>
      <c r="Q75" s="9" t="s">
        <v>287</v>
      </c>
      <c r="R75" s="9" t="s">
        <v>288</v>
      </c>
    </row>
    <row r="76" spans="12:18" hidden="1" x14ac:dyDescent="0.3">
      <c r="L76" s="256" t="s">
        <v>73</v>
      </c>
      <c r="M76" s="256">
        <v>34.4</v>
      </c>
      <c r="N76" s="256">
        <v>69.7</v>
      </c>
      <c r="O76" s="256">
        <v>0.03</v>
      </c>
      <c r="P76" s="256">
        <v>0.2</v>
      </c>
      <c r="Q76" s="9" t="s">
        <v>287</v>
      </c>
      <c r="R76" s="9" t="s">
        <v>288</v>
      </c>
    </row>
    <row r="77" spans="12:18" hidden="1" x14ac:dyDescent="0.3">
      <c r="L77" s="256" t="s">
        <v>77</v>
      </c>
      <c r="M77" s="256">
        <v>25.7</v>
      </c>
      <c r="N77" s="256">
        <v>60.2</v>
      </c>
      <c r="O77" s="256">
        <v>0.2</v>
      </c>
      <c r="P77" s="256">
        <v>0.2</v>
      </c>
      <c r="Q77" s="9" t="s">
        <v>287</v>
      </c>
      <c r="R77" s="9" t="s">
        <v>288</v>
      </c>
    </row>
    <row r="78" spans="12:18" hidden="1" x14ac:dyDescent="0.3">
      <c r="L78" s="256" t="s">
        <v>80</v>
      </c>
      <c r="M78" s="256">
        <v>31.4</v>
      </c>
      <c r="N78" s="256">
        <v>69.8</v>
      </c>
      <c r="O78" s="256">
        <v>0.01</v>
      </c>
      <c r="P78" s="256">
        <v>0.01</v>
      </c>
      <c r="Q78" s="9" t="s">
        <v>287</v>
      </c>
      <c r="R78" s="9" t="s">
        <v>288</v>
      </c>
    </row>
    <row r="79" spans="12:18" hidden="1" x14ac:dyDescent="0.3">
      <c r="L79" s="256" t="s">
        <v>81</v>
      </c>
      <c r="M79" s="256">
        <v>34.200000000000003</v>
      </c>
      <c r="N79" s="256">
        <v>92.6</v>
      </c>
      <c r="O79" s="256">
        <v>0.08</v>
      </c>
      <c r="P79" s="256">
        <v>0.2</v>
      </c>
      <c r="Q79" s="9" t="s">
        <v>261</v>
      </c>
      <c r="R79" s="9" t="s">
        <v>262</v>
      </c>
    </row>
    <row r="80" spans="12:18" hidden="1" x14ac:dyDescent="0.3">
      <c r="L80" s="256" t="s">
        <v>87</v>
      </c>
      <c r="M80" s="256">
        <v>42.9</v>
      </c>
      <c r="N80" s="256">
        <v>54.7</v>
      </c>
      <c r="O80" s="256">
        <v>0.03</v>
      </c>
      <c r="P80" s="256">
        <v>0.03</v>
      </c>
      <c r="Q80" s="9" t="s">
        <v>261</v>
      </c>
      <c r="R80" s="9" t="s">
        <v>262</v>
      </c>
    </row>
    <row r="81" spans="12:18" hidden="1" x14ac:dyDescent="0.3">
      <c r="L81" s="256" t="s">
        <v>88</v>
      </c>
      <c r="M81" s="256">
        <v>34.200000000000003</v>
      </c>
      <c r="N81" s="256">
        <v>92.6</v>
      </c>
      <c r="O81" s="256">
        <v>0.08</v>
      </c>
      <c r="P81" s="256">
        <v>0.2</v>
      </c>
      <c r="Q81" s="9" t="s">
        <v>261</v>
      </c>
      <c r="R81" s="9" t="s">
        <v>262</v>
      </c>
    </row>
    <row r="82" spans="12:18" hidden="1" x14ac:dyDescent="0.3">
      <c r="L82" s="256" t="s">
        <v>310</v>
      </c>
      <c r="M82" s="256">
        <v>34.4</v>
      </c>
      <c r="N82" s="256">
        <v>69.8</v>
      </c>
      <c r="O82" s="256">
        <v>0.02</v>
      </c>
      <c r="P82" s="256">
        <v>0.1</v>
      </c>
      <c r="Q82" s="9" t="s">
        <v>287</v>
      </c>
      <c r="R82" s="9" t="s">
        <v>288</v>
      </c>
    </row>
    <row r="83" spans="12:18" hidden="1" x14ac:dyDescent="0.3">
      <c r="L83" s="256" t="s">
        <v>94</v>
      </c>
      <c r="M83" s="256">
        <v>34.6</v>
      </c>
      <c r="N83" s="256">
        <v>0</v>
      </c>
      <c r="O83" s="256">
        <v>0.08</v>
      </c>
      <c r="P83" s="256">
        <v>0.2</v>
      </c>
      <c r="Q83" s="9" t="s">
        <v>287</v>
      </c>
      <c r="R83" s="9" t="s">
        <v>288</v>
      </c>
    </row>
    <row r="84" spans="12:18" hidden="1" x14ac:dyDescent="0.3">
      <c r="L84" s="256" t="s">
        <v>347</v>
      </c>
      <c r="M84" s="256">
        <v>36.799999999999997</v>
      </c>
      <c r="N84" s="256">
        <v>0</v>
      </c>
      <c r="O84" s="256">
        <v>0.02</v>
      </c>
      <c r="P84" s="256">
        <v>0.2</v>
      </c>
      <c r="Q84" s="9" t="s">
        <v>287</v>
      </c>
      <c r="R84" s="9" t="s">
        <v>288</v>
      </c>
    </row>
    <row r="85" spans="12:18" hidden="1" x14ac:dyDescent="0.3">
      <c r="L85" s="256" t="s">
        <v>334</v>
      </c>
      <c r="M85" s="256">
        <v>38.6</v>
      </c>
      <c r="N85" s="256">
        <v>0</v>
      </c>
      <c r="O85" s="256">
        <v>0.1</v>
      </c>
      <c r="P85" s="256">
        <v>0.2</v>
      </c>
      <c r="Q85" s="9" t="s">
        <v>287</v>
      </c>
      <c r="R85" s="9" t="s">
        <v>288</v>
      </c>
    </row>
    <row r="86" spans="12:18" hidden="1" x14ac:dyDescent="0.3">
      <c r="L86" s="256" t="s">
        <v>98</v>
      </c>
      <c r="M86" s="256">
        <v>23.4</v>
      </c>
      <c r="N86" s="256">
        <v>0</v>
      </c>
      <c r="O86" s="256">
        <v>0.08</v>
      </c>
      <c r="P86" s="256">
        <v>0.2</v>
      </c>
      <c r="Q86" s="9" t="s">
        <v>287</v>
      </c>
      <c r="R86" s="9" t="s">
        <v>288</v>
      </c>
    </row>
    <row r="87" spans="12:18" hidden="1" x14ac:dyDescent="0.3">
      <c r="L87" s="256" t="s">
        <v>103</v>
      </c>
      <c r="M87" s="256">
        <v>23.4</v>
      </c>
      <c r="N87" s="256">
        <v>0</v>
      </c>
      <c r="O87" s="256">
        <v>0.08</v>
      </c>
      <c r="P87" s="256">
        <v>0.2</v>
      </c>
      <c r="Q87" s="9" t="s">
        <v>287</v>
      </c>
      <c r="R87" s="9" t="s">
        <v>288</v>
      </c>
    </row>
    <row r="88" spans="12:18" hidden="1" x14ac:dyDescent="0.3">
      <c r="L88" s="256" t="s">
        <v>22</v>
      </c>
      <c r="M88" s="2" t="s">
        <v>22</v>
      </c>
      <c r="N88" s="2" t="s">
        <v>22</v>
      </c>
      <c r="O88" s="2" t="s">
        <v>22</v>
      </c>
      <c r="P88" s="2" t="s">
        <v>22</v>
      </c>
      <c r="Q88" s="9" t="s">
        <v>22</v>
      </c>
      <c r="R88" s="9" t="s">
        <v>22</v>
      </c>
    </row>
    <row r="89" spans="12:18" hidden="1" x14ac:dyDescent="0.3">
      <c r="L89" s="257" t="s">
        <v>220</v>
      </c>
      <c r="M89" s="261">
        <v>3.9300000000000002E-2</v>
      </c>
      <c r="N89" s="257">
        <v>51.4</v>
      </c>
      <c r="O89" s="257">
        <v>0.1</v>
      </c>
      <c r="P89" s="257">
        <v>0.03</v>
      </c>
      <c r="Q89" s="262" t="s">
        <v>298</v>
      </c>
      <c r="R89" s="9" t="s">
        <v>299</v>
      </c>
    </row>
    <row r="90" spans="12:18" hidden="1" x14ac:dyDescent="0.3">
      <c r="L90" s="257" t="s">
        <v>181</v>
      </c>
      <c r="M90" s="261">
        <v>3.7699999999999997E-2</v>
      </c>
      <c r="N90" s="257">
        <v>51.4</v>
      </c>
      <c r="O90" s="257">
        <v>0.2</v>
      </c>
      <c r="P90" s="257">
        <v>0.03</v>
      </c>
      <c r="Q90" s="262" t="s">
        <v>298</v>
      </c>
      <c r="R90" s="9" t="s">
        <v>299</v>
      </c>
    </row>
    <row r="91" spans="12:18" hidden="1" x14ac:dyDescent="0.3">
      <c r="L91" s="257" t="s">
        <v>177</v>
      </c>
      <c r="M91" s="261">
        <v>3.7699999999999997E-2</v>
      </c>
      <c r="N91" s="257">
        <v>51.9</v>
      </c>
      <c r="O91" s="257">
        <v>4.5999999999999996</v>
      </c>
      <c r="P91" s="257">
        <v>0.3</v>
      </c>
      <c r="Q91" s="262" t="s">
        <v>298</v>
      </c>
      <c r="R91" s="9" t="s">
        <v>299</v>
      </c>
    </row>
    <row r="92" spans="12:18" hidden="1" x14ac:dyDescent="0.3">
      <c r="L92" s="257" t="s">
        <v>195</v>
      </c>
      <c r="M92" s="261">
        <v>3.9300000000000002E-2</v>
      </c>
      <c r="N92" s="257">
        <v>51.4</v>
      </c>
      <c r="O92" s="257">
        <v>0.1</v>
      </c>
      <c r="P92" s="257">
        <v>0.03</v>
      </c>
      <c r="Q92" s="262" t="s">
        <v>298</v>
      </c>
      <c r="R92" s="9" t="s">
        <v>299</v>
      </c>
    </row>
    <row r="93" spans="12:18" hidden="1" x14ac:dyDescent="0.3">
      <c r="L93" s="257" t="s">
        <v>114</v>
      </c>
      <c r="M93" s="261">
        <v>3.9300000000000002E-2</v>
      </c>
      <c r="N93" s="257">
        <v>51.4</v>
      </c>
      <c r="O93" s="257">
        <v>0.1</v>
      </c>
      <c r="P93" s="257">
        <v>0.03</v>
      </c>
      <c r="Q93" s="262" t="s">
        <v>298</v>
      </c>
      <c r="R93" s="9" t="s">
        <v>299</v>
      </c>
    </row>
    <row r="94" spans="12:18" hidden="1" x14ac:dyDescent="0.3">
      <c r="L94" s="257" t="s">
        <v>203</v>
      </c>
      <c r="M94" s="261">
        <v>6.2899999999999998E-2</v>
      </c>
      <c r="N94" s="257">
        <v>56.5</v>
      </c>
      <c r="O94" s="257">
        <v>0.03</v>
      </c>
      <c r="P94" s="257">
        <v>0.03</v>
      </c>
      <c r="Q94" s="262" t="s">
        <v>298</v>
      </c>
      <c r="R94" s="9" t="s">
        <v>299</v>
      </c>
    </row>
    <row r="95" spans="12:18" hidden="1" x14ac:dyDescent="0.3">
      <c r="L95" s="257" t="s">
        <v>189</v>
      </c>
      <c r="M95" s="261">
        <v>1.8100000000000002E-2</v>
      </c>
      <c r="N95" s="257">
        <v>37</v>
      </c>
      <c r="O95" s="257">
        <v>0.03</v>
      </c>
      <c r="P95" s="257">
        <v>0.05</v>
      </c>
      <c r="Q95" s="262" t="s">
        <v>298</v>
      </c>
      <c r="R95" s="9" t="s">
        <v>299</v>
      </c>
    </row>
    <row r="96" spans="12:18" hidden="1" x14ac:dyDescent="0.3">
      <c r="L96" s="257" t="s">
        <v>157</v>
      </c>
      <c r="M96" s="261">
        <v>4.0000000000000001E-3</v>
      </c>
      <c r="N96" s="257">
        <v>234</v>
      </c>
      <c r="O96" s="257">
        <v>0.03</v>
      </c>
      <c r="P96" s="257">
        <v>0.02</v>
      </c>
      <c r="Q96" s="262" t="s">
        <v>298</v>
      </c>
      <c r="R96" s="9" t="s">
        <v>299</v>
      </c>
    </row>
    <row r="97" spans="12:18" hidden="1" x14ac:dyDescent="0.3">
      <c r="L97" s="257" t="s">
        <v>111</v>
      </c>
      <c r="M97" s="261">
        <v>3.9E-2</v>
      </c>
      <c r="N97" s="257">
        <v>60.2</v>
      </c>
      <c r="O97" s="257">
        <v>0.04</v>
      </c>
      <c r="P97" s="257">
        <v>0.03</v>
      </c>
      <c r="Q97" s="262" t="s">
        <v>298</v>
      </c>
      <c r="R97" s="9" t="s">
        <v>299</v>
      </c>
    </row>
    <row r="98" spans="12:18" hidden="1" x14ac:dyDescent="0.3">
      <c r="L98" s="257" t="s">
        <v>221</v>
      </c>
      <c r="M98" s="261">
        <v>25.3</v>
      </c>
      <c r="N98" s="257">
        <v>51.4</v>
      </c>
      <c r="O98" s="257">
        <v>0.1</v>
      </c>
      <c r="P98" s="257">
        <v>0.03</v>
      </c>
      <c r="Q98" s="262" t="s">
        <v>287</v>
      </c>
      <c r="R98" s="9" t="s">
        <v>288</v>
      </c>
    </row>
    <row r="99" spans="12:18" hidden="1" x14ac:dyDescent="0.3">
      <c r="L99" s="257" t="s">
        <v>311</v>
      </c>
      <c r="M99" s="261">
        <v>3.9300000000000002E-2</v>
      </c>
      <c r="N99" s="257">
        <v>51.4</v>
      </c>
      <c r="O99" s="257">
        <v>0.1</v>
      </c>
      <c r="P99" s="257">
        <v>0.03</v>
      </c>
      <c r="Q99" s="262" t="s">
        <v>298</v>
      </c>
      <c r="R99" s="9" t="s">
        <v>299</v>
      </c>
    </row>
    <row r="100" spans="12:18" hidden="1" x14ac:dyDescent="0.3">
      <c r="L100" s="257" t="s">
        <v>217</v>
      </c>
      <c r="M100" s="261">
        <v>3.7699999999999997E-2</v>
      </c>
      <c r="N100" s="257">
        <v>0</v>
      </c>
      <c r="O100" s="257">
        <v>6.4</v>
      </c>
      <c r="P100" s="257">
        <v>0.03</v>
      </c>
      <c r="Q100" s="262" t="s">
        <v>298</v>
      </c>
      <c r="R100" s="9" t="s">
        <v>299</v>
      </c>
    </row>
    <row r="101" spans="12:18" hidden="1" x14ac:dyDescent="0.3">
      <c r="L101" s="257" t="s">
        <v>91</v>
      </c>
      <c r="M101" s="261">
        <v>3.7699999999999997E-2</v>
      </c>
      <c r="N101" s="257">
        <v>0</v>
      </c>
      <c r="O101" s="257">
        <v>6.4</v>
      </c>
      <c r="P101" s="257">
        <v>0.03</v>
      </c>
      <c r="Q101" s="262" t="s">
        <v>298</v>
      </c>
      <c r="R101" s="9" t="s">
        <v>299</v>
      </c>
    </row>
    <row r="102" spans="12:18" hidden="1" x14ac:dyDescent="0.3">
      <c r="L102" s="257" t="s">
        <v>316</v>
      </c>
      <c r="M102" s="261">
        <v>3.9300000000000002E-2</v>
      </c>
      <c r="N102" s="257">
        <v>0</v>
      </c>
      <c r="O102" s="257">
        <v>0.1</v>
      </c>
      <c r="P102" s="257">
        <v>0.03</v>
      </c>
      <c r="Q102" s="262" t="s">
        <v>298</v>
      </c>
      <c r="R102" s="9" t="s">
        <v>299</v>
      </c>
    </row>
    <row r="103" spans="12:18" ht="15" hidden="1" thickBot="1" x14ac:dyDescent="0.35">
      <c r="L103" s="259" t="s">
        <v>228</v>
      </c>
      <c r="M103" s="261">
        <v>3.7699999999999997E-2</v>
      </c>
      <c r="N103" s="259">
        <v>0</v>
      </c>
      <c r="O103" s="259">
        <v>6.4</v>
      </c>
      <c r="P103" s="259">
        <v>0.03</v>
      </c>
      <c r="Q103" s="262" t="s">
        <v>298</v>
      </c>
      <c r="R103" s="9" t="s">
        <v>299</v>
      </c>
    </row>
    <row r="104" spans="12:18" ht="15" hidden="1" thickTop="1" x14ac:dyDescent="0.3"/>
  </sheetData>
  <sheetProtection algorithmName="SHA-256" hashValue="rEhAbhAXoGqVcPJYzDhOZGWLW9wcXZaC0N8UhDizgWI=" saltValue="h8PTxbamyqAL+WqUhtZyvg==" spinCount="100000" sheet="1" selectLockedCells="1"/>
  <mergeCells count="6">
    <mergeCell ref="B8:D8"/>
    <mergeCell ref="B15:D15"/>
    <mergeCell ref="B23:D23"/>
    <mergeCell ref="B5:D5"/>
    <mergeCell ref="B1:D1"/>
    <mergeCell ref="B3:D3"/>
  </mergeCells>
  <dataValidations count="6">
    <dataValidation type="list" allowBlank="1" showInputMessage="1" showErrorMessage="1" sqref="C9" xr:uid="{00000000-0002-0000-0900-000000000000}">
      <formula1>$H$9:$H$11</formula1>
    </dataValidation>
    <dataValidation type="list" allowBlank="1" showInputMessage="1" showErrorMessage="1" sqref="C16" xr:uid="{00000000-0002-0000-0900-000001000000}">
      <formula1>$H$16:$H$18</formula1>
    </dataValidation>
    <dataValidation type="list" allowBlank="1" showInputMessage="1" showErrorMessage="1" sqref="C17" xr:uid="{00000000-0002-0000-0900-000002000000}">
      <formula1>$H$20:$H$34</formula1>
    </dataValidation>
    <dataValidation type="list" allowBlank="1" showInputMessage="1" showErrorMessage="1" sqref="C24" xr:uid="{00000000-0002-0000-0900-000003000000}">
      <formula1>$L$9:$L$13</formula1>
    </dataValidation>
    <dataValidation type="list" allowBlank="1" showInputMessage="1" showErrorMessage="1" sqref="C26" xr:uid="{00000000-0002-0000-0900-000004000000}">
      <formula1>$M$9:$M$11</formula1>
    </dataValidation>
    <dataValidation type="list" allowBlank="1" showInputMessage="1" showErrorMessage="1" sqref="C25" xr:uid="{00000000-0002-0000-0900-000005000000}">
      <formula1>IF(C24="Solid fuels",L15:L35,IF(C24="Liquid fuels - transport",L36:L61,IF(C24="Liquid fuels - stationary",L63:L87,IF(C24="Gaseous fuels",L88:L103,"-"))))</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4:AJ87"/>
  <sheetViews>
    <sheetView zoomScaleNormal="100" workbookViewId="0">
      <selection sqref="A1:XFD1048576"/>
    </sheetView>
  </sheetViews>
  <sheetFormatPr defaultColWidth="9.21875" defaultRowHeight="14.4" x14ac:dyDescent="0.3"/>
  <cols>
    <col min="1" max="1" width="9.21875" style="77" customWidth="1"/>
    <col min="2" max="2" width="64" style="2" customWidth="1"/>
    <col min="3" max="8" width="9.21875" style="2" customWidth="1"/>
    <col min="9" max="9" width="77.44140625" style="2" customWidth="1"/>
    <col min="10" max="16" width="9.21875" style="2" customWidth="1"/>
    <col min="17" max="17" width="36.21875" style="2" customWidth="1"/>
    <col min="18" max="22" width="9.21875" style="2" customWidth="1"/>
    <col min="23" max="23" width="82.5546875" style="2" customWidth="1"/>
    <col min="24" max="29" width="9.21875" style="2" customWidth="1"/>
    <col min="30" max="30" width="88.44140625" style="2" customWidth="1"/>
    <col min="31" max="36" width="9.21875" style="2" customWidth="1"/>
  </cols>
  <sheetData>
    <row r="4" spans="1:35" x14ac:dyDescent="0.3">
      <c r="I4" s="2" t="s">
        <v>312</v>
      </c>
      <c r="W4" s="2" t="s">
        <v>312</v>
      </c>
      <c r="AD4" s="2" t="s">
        <v>312</v>
      </c>
    </row>
    <row r="6" spans="1:35" x14ac:dyDescent="0.3">
      <c r="B6" s="2" t="s">
        <v>131</v>
      </c>
      <c r="I6" s="2" t="s">
        <v>132</v>
      </c>
      <c r="Q6" s="2" t="s">
        <v>133</v>
      </c>
      <c r="W6" s="2" t="s">
        <v>134</v>
      </c>
      <c r="AD6" s="2" t="s">
        <v>135</v>
      </c>
    </row>
    <row r="8" spans="1:35" x14ac:dyDescent="0.3">
      <c r="B8" s="87" t="s">
        <v>22</v>
      </c>
      <c r="C8" s="87">
        <v>0</v>
      </c>
      <c r="D8" s="87">
        <v>0</v>
      </c>
      <c r="E8" s="87">
        <v>0</v>
      </c>
      <c r="F8" s="87">
        <v>0</v>
      </c>
      <c r="G8" s="87" t="s">
        <v>22</v>
      </c>
      <c r="H8" s="78"/>
      <c r="I8" s="88" t="s">
        <v>22</v>
      </c>
      <c r="J8" s="88">
        <v>0</v>
      </c>
      <c r="K8" s="88">
        <v>0</v>
      </c>
      <c r="L8" s="88">
        <v>0</v>
      </c>
      <c r="M8" s="7">
        <v>0</v>
      </c>
      <c r="N8" s="7" t="s">
        <v>22</v>
      </c>
      <c r="W8" s="8" t="s">
        <v>22</v>
      </c>
      <c r="X8" s="8">
        <v>0</v>
      </c>
      <c r="Y8" s="8">
        <v>0</v>
      </c>
      <c r="Z8" s="8">
        <v>0</v>
      </c>
      <c r="AA8" s="8">
        <v>0</v>
      </c>
      <c r="AB8" s="8" t="s">
        <v>22</v>
      </c>
      <c r="AD8" s="7" t="s">
        <v>22</v>
      </c>
      <c r="AE8" s="7">
        <v>0</v>
      </c>
      <c r="AF8" s="7">
        <v>0</v>
      </c>
      <c r="AG8" s="7">
        <v>0</v>
      </c>
      <c r="AH8" s="7">
        <v>0</v>
      </c>
      <c r="AI8" s="7" t="s">
        <v>22</v>
      </c>
    </row>
    <row r="9" spans="1:35" x14ac:dyDescent="0.3">
      <c r="A9" s="77" t="s">
        <v>313</v>
      </c>
      <c r="B9" s="266" t="s">
        <v>94</v>
      </c>
      <c r="C9" s="267">
        <v>34.6</v>
      </c>
      <c r="D9" s="268">
        <v>0</v>
      </c>
      <c r="E9" s="268">
        <v>0.8</v>
      </c>
      <c r="F9" s="268">
        <v>1.7</v>
      </c>
      <c r="G9" s="266" t="s">
        <v>74</v>
      </c>
      <c r="I9" s="271" t="s">
        <v>137</v>
      </c>
      <c r="J9" s="271">
        <v>29</v>
      </c>
      <c r="K9" s="271">
        <v>90</v>
      </c>
      <c r="L9" s="271">
        <v>0.04</v>
      </c>
      <c r="M9" s="271">
        <v>0.2</v>
      </c>
      <c r="N9" s="272" t="s">
        <v>83</v>
      </c>
      <c r="Q9" s="274" t="s">
        <v>138</v>
      </c>
      <c r="R9" s="275" t="s">
        <v>28</v>
      </c>
      <c r="S9" s="275" t="s">
        <v>21</v>
      </c>
      <c r="T9" s="275" t="s">
        <v>139</v>
      </c>
      <c r="W9" s="277" t="s">
        <v>140</v>
      </c>
      <c r="X9" s="267">
        <v>0</v>
      </c>
      <c r="Y9" s="267">
        <v>0</v>
      </c>
      <c r="Z9" s="267">
        <v>0</v>
      </c>
      <c r="AA9" s="267">
        <v>3.7699999999999997E-2</v>
      </c>
      <c r="AB9" s="266" t="s">
        <v>93</v>
      </c>
      <c r="AD9" s="279" t="s">
        <v>140</v>
      </c>
      <c r="AE9" s="278">
        <v>0</v>
      </c>
      <c r="AF9" s="278">
        <v>0</v>
      </c>
      <c r="AG9" s="278">
        <v>0</v>
      </c>
      <c r="AH9" s="278">
        <v>3.7699999999999997E-2</v>
      </c>
      <c r="AI9" s="280" t="s">
        <v>93</v>
      </c>
    </row>
    <row r="10" spans="1:35" x14ac:dyDescent="0.3">
      <c r="A10" s="77" t="s">
        <v>313</v>
      </c>
      <c r="B10" s="266" t="s">
        <v>142</v>
      </c>
      <c r="C10" s="267">
        <v>23.4</v>
      </c>
      <c r="D10" s="268">
        <v>0</v>
      </c>
      <c r="E10" s="268">
        <v>0.8</v>
      </c>
      <c r="F10" s="268">
        <v>1.7</v>
      </c>
      <c r="G10" s="266" t="s">
        <v>74</v>
      </c>
      <c r="I10" s="271" t="s">
        <v>143</v>
      </c>
      <c r="J10" s="271">
        <v>9.6</v>
      </c>
      <c r="K10" s="271">
        <v>0</v>
      </c>
      <c r="L10" s="271">
        <v>0.3</v>
      </c>
      <c r="M10" s="271">
        <v>1.1000000000000001</v>
      </c>
      <c r="N10" s="272" t="s">
        <v>83</v>
      </c>
      <c r="Q10" s="274" t="s">
        <v>22</v>
      </c>
      <c r="R10" s="274">
        <v>0</v>
      </c>
      <c r="S10" s="274">
        <v>0</v>
      </c>
      <c r="T10" s="274">
        <v>0</v>
      </c>
      <c r="V10" s="2" t="s">
        <v>144</v>
      </c>
      <c r="W10" s="277" t="s">
        <v>137</v>
      </c>
      <c r="X10" s="267">
        <v>0</v>
      </c>
      <c r="Y10" s="267">
        <v>0</v>
      </c>
      <c r="Z10" s="267">
        <v>0</v>
      </c>
      <c r="AA10" s="267">
        <v>29</v>
      </c>
      <c r="AB10" s="266" t="s">
        <v>83</v>
      </c>
      <c r="AC10" s="2" t="s">
        <v>144</v>
      </c>
      <c r="AD10" s="279" t="s">
        <v>137</v>
      </c>
      <c r="AE10" s="278">
        <v>0</v>
      </c>
      <c r="AF10" s="278">
        <v>0</v>
      </c>
      <c r="AG10" s="278">
        <v>0</v>
      </c>
      <c r="AH10" s="278">
        <v>29</v>
      </c>
      <c r="AI10" s="280" t="s">
        <v>83</v>
      </c>
    </row>
    <row r="11" spans="1:35" x14ac:dyDescent="0.3">
      <c r="A11" s="77" t="s">
        <v>314</v>
      </c>
      <c r="B11" s="266" t="s">
        <v>145</v>
      </c>
      <c r="C11" s="267" t="s">
        <v>146</v>
      </c>
      <c r="D11" s="269" t="s">
        <v>147</v>
      </c>
      <c r="E11" s="269" t="s">
        <v>148</v>
      </c>
      <c r="F11" s="269">
        <v>0.5</v>
      </c>
      <c r="G11" s="266" t="s">
        <v>74</v>
      </c>
      <c r="I11" s="271" t="s">
        <v>94</v>
      </c>
      <c r="J11" s="271">
        <v>34.6</v>
      </c>
      <c r="K11" s="271">
        <v>0</v>
      </c>
      <c r="L11" s="271">
        <v>0.08</v>
      </c>
      <c r="M11" s="271">
        <v>0.2</v>
      </c>
      <c r="N11" s="273" t="s">
        <v>74</v>
      </c>
      <c r="Q11" s="274" t="s">
        <v>149</v>
      </c>
      <c r="R11" s="276">
        <v>0.64</v>
      </c>
      <c r="S11" s="274">
        <v>3.5999999999999999E-3</v>
      </c>
      <c r="T11" s="274">
        <f t="shared" ref="T11:T19" si="0">R11/S11</f>
        <v>177.7777777777778</v>
      </c>
      <c r="V11" s="2" t="s">
        <v>144</v>
      </c>
      <c r="W11" s="277" t="s">
        <v>143</v>
      </c>
      <c r="X11" s="267">
        <v>0</v>
      </c>
      <c r="Y11" s="267">
        <v>0</v>
      </c>
      <c r="Z11" s="267">
        <v>0</v>
      </c>
      <c r="AA11" s="267">
        <v>9.6</v>
      </c>
      <c r="AB11" s="266" t="s">
        <v>83</v>
      </c>
      <c r="AC11" s="2" t="s">
        <v>144</v>
      </c>
      <c r="AD11" s="279" t="s">
        <v>143</v>
      </c>
      <c r="AE11" s="278">
        <v>0</v>
      </c>
      <c r="AF11" s="278">
        <v>0</v>
      </c>
      <c r="AG11" s="278">
        <v>0</v>
      </c>
      <c r="AH11" s="278">
        <v>9.6</v>
      </c>
      <c r="AI11" s="280" t="s">
        <v>83</v>
      </c>
    </row>
    <row r="12" spans="1:35" x14ac:dyDescent="0.3">
      <c r="A12" s="77" t="s">
        <v>313</v>
      </c>
      <c r="B12" s="266" t="s">
        <v>136</v>
      </c>
      <c r="C12" s="267" t="s">
        <v>146</v>
      </c>
      <c r="D12" s="268" t="s">
        <v>147</v>
      </c>
      <c r="E12" s="268" t="s">
        <v>150</v>
      </c>
      <c r="F12" s="268">
        <v>0.4</v>
      </c>
      <c r="G12" s="266" t="s">
        <v>74</v>
      </c>
      <c r="I12" s="271" t="s">
        <v>151</v>
      </c>
      <c r="J12" s="271">
        <v>12.2</v>
      </c>
      <c r="K12" s="271">
        <v>0</v>
      </c>
      <c r="L12" s="271">
        <v>0.8</v>
      </c>
      <c r="M12" s="271">
        <v>1</v>
      </c>
      <c r="N12" s="272" t="s">
        <v>83</v>
      </c>
      <c r="Q12" s="274" t="s">
        <v>152</v>
      </c>
      <c r="R12" s="276">
        <v>0.64</v>
      </c>
      <c r="S12" s="274">
        <v>3.5999999999999999E-3</v>
      </c>
      <c r="T12" s="274">
        <f t="shared" si="0"/>
        <v>177.7777777777778</v>
      </c>
      <c r="W12" s="277" t="s">
        <v>94</v>
      </c>
      <c r="X12" s="267">
        <v>0</v>
      </c>
      <c r="Y12" s="267">
        <v>0</v>
      </c>
      <c r="Z12" s="267">
        <v>0</v>
      </c>
      <c r="AA12" s="267">
        <v>34.6</v>
      </c>
      <c r="AB12" s="266" t="s">
        <v>74</v>
      </c>
      <c r="AD12" s="279" t="s">
        <v>94</v>
      </c>
      <c r="AE12" s="278">
        <v>0</v>
      </c>
      <c r="AF12" s="278">
        <v>0</v>
      </c>
      <c r="AG12" s="278">
        <v>0</v>
      </c>
      <c r="AH12" s="278">
        <v>34.6</v>
      </c>
      <c r="AI12" s="280" t="s">
        <v>74</v>
      </c>
    </row>
    <row r="13" spans="1:35" x14ac:dyDescent="0.3">
      <c r="A13" s="77" t="s">
        <v>315</v>
      </c>
      <c r="B13" s="266" t="s">
        <v>153</v>
      </c>
      <c r="C13" s="267" t="s">
        <v>146</v>
      </c>
      <c r="D13" s="269" t="s">
        <v>147</v>
      </c>
      <c r="E13" s="269">
        <v>0.2</v>
      </c>
      <c r="F13" s="269">
        <v>0.4</v>
      </c>
      <c r="G13" s="266" t="s">
        <v>74</v>
      </c>
      <c r="I13" s="271" t="s">
        <v>316</v>
      </c>
      <c r="J13" s="271">
        <v>3.9300000000000002E-2</v>
      </c>
      <c r="K13" s="271">
        <v>0</v>
      </c>
      <c r="L13" s="271">
        <v>0.1</v>
      </c>
      <c r="M13" s="271">
        <v>0.03</v>
      </c>
      <c r="N13" s="272" t="s">
        <v>93</v>
      </c>
      <c r="Q13" s="274" t="s">
        <v>155</v>
      </c>
      <c r="R13" s="276">
        <v>0.78</v>
      </c>
      <c r="S13" s="274">
        <v>3.5999999999999999E-3</v>
      </c>
      <c r="T13" s="274">
        <f t="shared" si="0"/>
        <v>216.66666666666669</v>
      </c>
      <c r="W13" s="277" t="s">
        <v>316</v>
      </c>
      <c r="X13" s="267" t="s">
        <v>317</v>
      </c>
      <c r="Y13" s="267" t="s">
        <v>317</v>
      </c>
      <c r="Z13" s="267" t="s">
        <v>317</v>
      </c>
      <c r="AA13" s="267" t="s">
        <v>318</v>
      </c>
      <c r="AB13" s="266" t="s">
        <v>93</v>
      </c>
      <c r="AD13" s="279" t="s">
        <v>316</v>
      </c>
      <c r="AE13" s="278" t="s">
        <v>317</v>
      </c>
      <c r="AF13" s="278" t="s">
        <v>317</v>
      </c>
      <c r="AG13" s="278" t="s">
        <v>317</v>
      </c>
      <c r="AH13" s="278" t="s">
        <v>115</v>
      </c>
      <c r="AI13" s="280" t="s">
        <v>93</v>
      </c>
    </row>
    <row r="14" spans="1:35" x14ac:dyDescent="0.3">
      <c r="A14" s="77" t="s">
        <v>315</v>
      </c>
      <c r="B14" s="266" t="s">
        <v>156</v>
      </c>
      <c r="C14" s="267" t="s">
        <v>146</v>
      </c>
      <c r="D14" s="269" t="s">
        <v>147</v>
      </c>
      <c r="E14" s="269">
        <v>0.1</v>
      </c>
      <c r="F14" s="269">
        <v>0.4</v>
      </c>
      <c r="G14" s="266" t="s">
        <v>74</v>
      </c>
      <c r="I14" s="271" t="s">
        <v>154</v>
      </c>
      <c r="J14" s="271">
        <v>27</v>
      </c>
      <c r="K14" s="271">
        <v>90</v>
      </c>
      <c r="L14" s="271">
        <v>0.04</v>
      </c>
      <c r="M14" s="271">
        <v>0.2</v>
      </c>
      <c r="N14" s="272" t="s">
        <v>83</v>
      </c>
      <c r="Q14" s="274" t="s">
        <v>158</v>
      </c>
      <c r="R14" s="276">
        <v>0.2</v>
      </c>
      <c r="S14" s="274">
        <v>3.5999999999999999E-3</v>
      </c>
      <c r="T14" s="274">
        <f t="shared" si="0"/>
        <v>55.555555555555557</v>
      </c>
      <c r="V14" s="2" t="s">
        <v>144</v>
      </c>
      <c r="W14" s="277" t="s">
        <v>142</v>
      </c>
      <c r="X14" s="267">
        <v>0</v>
      </c>
      <c r="Y14" s="267">
        <v>0</v>
      </c>
      <c r="Z14" s="267">
        <v>0</v>
      </c>
      <c r="AA14" s="267">
        <v>23.4</v>
      </c>
      <c r="AB14" s="266" t="s">
        <v>74</v>
      </c>
      <c r="AC14" s="2" t="s">
        <v>144</v>
      </c>
      <c r="AD14" s="279" t="s">
        <v>142</v>
      </c>
      <c r="AE14" s="278">
        <v>0</v>
      </c>
      <c r="AF14" s="278">
        <v>0</v>
      </c>
      <c r="AG14" s="278">
        <v>0</v>
      </c>
      <c r="AH14" s="278">
        <v>23.4</v>
      </c>
      <c r="AI14" s="280" t="s">
        <v>74</v>
      </c>
    </row>
    <row r="15" spans="1:35" x14ac:dyDescent="0.3">
      <c r="A15" s="77" t="s">
        <v>315</v>
      </c>
      <c r="B15" s="266" t="s">
        <v>159</v>
      </c>
      <c r="C15" s="267" t="s">
        <v>146</v>
      </c>
      <c r="D15" s="269" t="s">
        <v>147</v>
      </c>
      <c r="E15" s="269">
        <v>7.0000000000000007E-2</v>
      </c>
      <c r="F15" s="269">
        <v>0.4</v>
      </c>
      <c r="G15" s="266" t="s">
        <v>74</v>
      </c>
      <c r="I15" s="271" t="s">
        <v>157</v>
      </c>
      <c r="J15" s="271">
        <v>4.0000000000000001E-3</v>
      </c>
      <c r="K15" s="271">
        <v>234</v>
      </c>
      <c r="L15" s="271">
        <v>0.03</v>
      </c>
      <c r="M15" s="271">
        <v>0.02</v>
      </c>
      <c r="N15" s="272" t="s">
        <v>93</v>
      </c>
      <c r="Q15" s="274" t="s">
        <v>161</v>
      </c>
      <c r="R15" s="276">
        <v>0.22</v>
      </c>
      <c r="S15" s="274">
        <v>3.5999999999999999E-3</v>
      </c>
      <c r="T15" s="274">
        <f t="shared" si="0"/>
        <v>61.111111111111114</v>
      </c>
      <c r="W15" s="277" t="s">
        <v>151</v>
      </c>
      <c r="X15" s="267">
        <v>0</v>
      </c>
      <c r="Y15" s="267">
        <v>0</v>
      </c>
      <c r="Z15" s="267">
        <v>0</v>
      </c>
      <c r="AA15" s="267">
        <v>12.2</v>
      </c>
      <c r="AB15" s="266" t="s">
        <v>83</v>
      </c>
      <c r="AD15" s="279" t="s">
        <v>151</v>
      </c>
      <c r="AE15" s="278">
        <v>0</v>
      </c>
      <c r="AF15" s="278">
        <v>0</v>
      </c>
      <c r="AG15" s="278">
        <v>0</v>
      </c>
      <c r="AH15" s="278">
        <v>12.2</v>
      </c>
      <c r="AI15" s="280" t="s">
        <v>83</v>
      </c>
    </row>
    <row r="16" spans="1:35" x14ac:dyDescent="0.3">
      <c r="A16" s="77" t="s">
        <v>314</v>
      </c>
      <c r="B16" s="266" t="s">
        <v>163</v>
      </c>
      <c r="C16" s="267" t="s">
        <v>164</v>
      </c>
      <c r="D16" s="269">
        <v>0</v>
      </c>
      <c r="E16" s="269">
        <v>0.2</v>
      </c>
      <c r="F16" s="269">
        <v>0.2</v>
      </c>
      <c r="G16" s="266" t="s">
        <v>74</v>
      </c>
      <c r="I16" s="271" t="s">
        <v>160</v>
      </c>
      <c r="J16" s="271">
        <v>10.199999999999999</v>
      </c>
      <c r="K16" s="271">
        <v>93.5</v>
      </c>
      <c r="L16" s="271">
        <v>0.02</v>
      </c>
      <c r="M16" s="271">
        <v>0.3</v>
      </c>
      <c r="N16" s="272" t="s">
        <v>83</v>
      </c>
      <c r="Q16" s="274" t="s">
        <v>166</v>
      </c>
      <c r="R16" s="276">
        <v>0.5</v>
      </c>
      <c r="S16" s="274">
        <v>3.5999999999999999E-3</v>
      </c>
      <c r="T16" s="274">
        <f t="shared" si="0"/>
        <v>138.88888888888889</v>
      </c>
      <c r="W16" s="277" t="s">
        <v>162</v>
      </c>
      <c r="X16" s="267">
        <v>0</v>
      </c>
      <c r="Y16" s="267">
        <v>0</v>
      </c>
      <c r="Z16" s="267">
        <v>0</v>
      </c>
      <c r="AA16" s="267">
        <v>43.2</v>
      </c>
      <c r="AB16" s="266" t="s">
        <v>83</v>
      </c>
      <c r="AD16" s="271" t="s">
        <v>120</v>
      </c>
      <c r="AE16" s="278">
        <v>0</v>
      </c>
      <c r="AF16" s="278">
        <v>0</v>
      </c>
      <c r="AG16" s="278">
        <v>0</v>
      </c>
      <c r="AH16" s="271">
        <v>43.2</v>
      </c>
      <c r="AI16" s="272" t="s">
        <v>83</v>
      </c>
    </row>
    <row r="17" spans="1:35" x14ac:dyDescent="0.3">
      <c r="A17" s="77" t="s">
        <v>313</v>
      </c>
      <c r="B17" s="266" t="s">
        <v>167</v>
      </c>
      <c r="C17" s="267" t="s">
        <v>164</v>
      </c>
      <c r="D17" s="269">
        <v>0</v>
      </c>
      <c r="E17" s="269">
        <v>0.8</v>
      </c>
      <c r="F17" s="269">
        <v>1.7</v>
      </c>
      <c r="G17" s="266" t="s">
        <v>74</v>
      </c>
      <c r="I17" s="271" t="s">
        <v>165</v>
      </c>
      <c r="J17" s="271">
        <v>31.1</v>
      </c>
      <c r="K17" s="271">
        <v>0</v>
      </c>
      <c r="L17" s="271">
        <v>5.3</v>
      </c>
      <c r="M17" s="271">
        <v>1</v>
      </c>
      <c r="N17" s="272" t="s">
        <v>83</v>
      </c>
      <c r="Q17" s="274" t="s">
        <v>169</v>
      </c>
      <c r="R17" s="276">
        <v>0.56000000000000005</v>
      </c>
      <c r="S17" s="274">
        <v>3.5999999999999999E-3</v>
      </c>
      <c r="T17" s="274">
        <f t="shared" si="0"/>
        <v>155.55555555555557</v>
      </c>
      <c r="W17" s="277" t="s">
        <v>154</v>
      </c>
      <c r="X17" s="267">
        <v>0</v>
      </c>
      <c r="Y17" s="267">
        <v>0</v>
      </c>
      <c r="Z17" s="267">
        <v>0</v>
      </c>
      <c r="AA17" s="267">
        <v>27</v>
      </c>
      <c r="AB17" s="266" t="s">
        <v>83</v>
      </c>
      <c r="AD17" s="279" t="s">
        <v>162</v>
      </c>
      <c r="AE17" s="278">
        <v>0</v>
      </c>
      <c r="AF17" s="278">
        <v>0</v>
      </c>
      <c r="AG17" s="278">
        <v>0</v>
      </c>
      <c r="AH17" s="278">
        <v>43.2</v>
      </c>
      <c r="AI17" s="280" t="s">
        <v>83</v>
      </c>
    </row>
    <row r="18" spans="1:35" x14ac:dyDescent="0.3">
      <c r="A18" s="77" t="s">
        <v>313</v>
      </c>
      <c r="B18" s="266" t="s">
        <v>170</v>
      </c>
      <c r="C18" s="267" t="s">
        <v>171</v>
      </c>
      <c r="D18" s="268" t="s">
        <v>172</v>
      </c>
      <c r="E18" s="268">
        <v>0.08</v>
      </c>
      <c r="F18" s="268">
        <v>0.5</v>
      </c>
      <c r="G18" s="266" t="s">
        <v>74</v>
      </c>
      <c r="I18" s="271" t="s">
        <v>168</v>
      </c>
      <c r="J18" s="271">
        <v>22.1</v>
      </c>
      <c r="K18" s="271">
        <v>95</v>
      </c>
      <c r="L18" s="271">
        <v>0.08</v>
      </c>
      <c r="M18" s="271">
        <v>0.2</v>
      </c>
      <c r="N18" s="272" t="s">
        <v>83</v>
      </c>
      <c r="Q18" s="274" t="s">
        <v>174</v>
      </c>
      <c r="R18" s="276">
        <v>0.67</v>
      </c>
      <c r="S18" s="274">
        <v>3.5999999999999999E-3</v>
      </c>
      <c r="T18" s="274">
        <f t="shared" si="0"/>
        <v>186.11111111111111</v>
      </c>
      <c r="W18" s="277" t="s">
        <v>157</v>
      </c>
      <c r="X18" s="267">
        <v>0</v>
      </c>
      <c r="Y18" s="267">
        <v>0</v>
      </c>
      <c r="Z18" s="267">
        <v>0</v>
      </c>
      <c r="AA18" s="267">
        <v>4.0000000000000001E-3</v>
      </c>
      <c r="AB18" s="266" t="s">
        <v>93</v>
      </c>
      <c r="AD18" s="279" t="s">
        <v>154</v>
      </c>
      <c r="AE18" s="278">
        <v>0</v>
      </c>
      <c r="AF18" s="278">
        <v>0</v>
      </c>
      <c r="AG18" s="278">
        <v>0</v>
      </c>
      <c r="AH18" s="278">
        <v>27</v>
      </c>
      <c r="AI18" s="280" t="s">
        <v>83</v>
      </c>
    </row>
    <row r="19" spans="1:35" x14ac:dyDescent="0.3">
      <c r="A19" s="77" t="s">
        <v>314</v>
      </c>
      <c r="B19" s="266" t="s">
        <v>175</v>
      </c>
      <c r="C19" s="267" t="s">
        <v>82</v>
      </c>
      <c r="D19" s="268" t="s">
        <v>176</v>
      </c>
      <c r="E19" s="268">
        <v>0.02</v>
      </c>
      <c r="F19" s="268">
        <v>0.2</v>
      </c>
      <c r="G19" s="266" t="s">
        <v>74</v>
      </c>
      <c r="I19" s="271" t="s">
        <v>173</v>
      </c>
      <c r="J19" s="271">
        <v>27</v>
      </c>
      <c r="K19" s="271">
        <v>107</v>
      </c>
      <c r="L19" s="271">
        <v>0.03</v>
      </c>
      <c r="M19" s="271">
        <v>0.2</v>
      </c>
      <c r="N19" s="272" t="s">
        <v>83</v>
      </c>
      <c r="Q19" s="274" t="s">
        <v>178</v>
      </c>
      <c r="R19" s="276">
        <v>0.56000000000000005</v>
      </c>
      <c r="S19" s="274">
        <v>3.5999999999999999E-3</v>
      </c>
      <c r="T19" s="274">
        <f t="shared" si="0"/>
        <v>155.55555555555557</v>
      </c>
      <c r="W19" s="277" t="s">
        <v>160</v>
      </c>
      <c r="X19" s="267">
        <v>0</v>
      </c>
      <c r="Y19" s="267">
        <v>0</v>
      </c>
      <c r="Z19" s="267">
        <v>0</v>
      </c>
      <c r="AA19" s="267">
        <v>10.199999999999999</v>
      </c>
      <c r="AB19" s="266" t="s">
        <v>83</v>
      </c>
      <c r="AD19" s="279" t="s">
        <v>157</v>
      </c>
      <c r="AE19" s="278">
        <v>0</v>
      </c>
      <c r="AF19" s="278">
        <v>0</v>
      </c>
      <c r="AG19" s="278">
        <v>0</v>
      </c>
      <c r="AH19" s="278">
        <v>4.0000000000000001E-3</v>
      </c>
      <c r="AI19" s="280" t="s">
        <v>93</v>
      </c>
    </row>
    <row r="20" spans="1:35" x14ac:dyDescent="0.3">
      <c r="A20" s="77" t="s">
        <v>313</v>
      </c>
      <c r="B20" s="266" t="s">
        <v>180</v>
      </c>
      <c r="C20" s="267" t="s">
        <v>82</v>
      </c>
      <c r="D20" s="268" t="s">
        <v>176</v>
      </c>
      <c r="E20" s="268">
        <v>0.6</v>
      </c>
      <c r="F20" s="268">
        <v>1.6</v>
      </c>
      <c r="G20" s="266" t="s">
        <v>74</v>
      </c>
      <c r="I20" s="271" t="s">
        <v>177</v>
      </c>
      <c r="J20" s="271">
        <v>3.7699999999999997E-2</v>
      </c>
      <c r="K20" s="271">
        <v>51.9</v>
      </c>
      <c r="L20" s="271">
        <v>4.5999999999999996</v>
      </c>
      <c r="M20" s="271">
        <v>0.03</v>
      </c>
      <c r="N20" s="272" t="s">
        <v>93</v>
      </c>
      <c r="W20" s="277" t="s">
        <v>179</v>
      </c>
      <c r="X20" s="267">
        <v>0</v>
      </c>
      <c r="Y20" s="267">
        <v>0</v>
      </c>
      <c r="Z20" s="267">
        <v>0</v>
      </c>
      <c r="AA20" s="267">
        <v>37.1</v>
      </c>
      <c r="AB20" s="266" t="s">
        <v>83</v>
      </c>
      <c r="AD20" s="279" t="s">
        <v>160</v>
      </c>
      <c r="AE20" s="278">
        <v>0</v>
      </c>
      <c r="AF20" s="278">
        <v>0</v>
      </c>
      <c r="AG20" s="278">
        <v>0</v>
      </c>
      <c r="AH20" s="278">
        <v>10.199999999999999</v>
      </c>
      <c r="AI20" s="280" t="s">
        <v>83</v>
      </c>
    </row>
    <row r="21" spans="1:35" x14ac:dyDescent="0.3">
      <c r="A21" s="77" t="s">
        <v>313</v>
      </c>
      <c r="B21" s="266" t="s">
        <v>141</v>
      </c>
      <c r="C21" s="267" t="s">
        <v>182</v>
      </c>
      <c r="D21" s="268" t="s">
        <v>183</v>
      </c>
      <c r="E21" s="268">
        <v>0.06</v>
      </c>
      <c r="F21" s="268">
        <v>0.6</v>
      </c>
      <c r="G21" s="266" t="s">
        <v>74</v>
      </c>
      <c r="I21" s="271" t="s">
        <v>181</v>
      </c>
      <c r="J21" s="271">
        <v>3.7699999999999997E-2</v>
      </c>
      <c r="K21" s="271">
        <v>51.4</v>
      </c>
      <c r="L21" s="271">
        <v>0.2</v>
      </c>
      <c r="M21" s="271">
        <v>0.3</v>
      </c>
      <c r="N21" s="272" t="s">
        <v>93</v>
      </c>
      <c r="W21" s="277" t="s">
        <v>165</v>
      </c>
      <c r="X21" s="267">
        <v>0</v>
      </c>
      <c r="Y21" s="267">
        <v>0</v>
      </c>
      <c r="Z21" s="267">
        <v>0</v>
      </c>
      <c r="AA21" s="267">
        <v>31.1</v>
      </c>
      <c r="AB21" s="266" t="s">
        <v>83</v>
      </c>
      <c r="AD21" s="279" t="s">
        <v>179</v>
      </c>
      <c r="AE21" s="278">
        <v>0</v>
      </c>
      <c r="AF21" s="278">
        <v>0</v>
      </c>
      <c r="AG21" s="278">
        <v>0</v>
      </c>
      <c r="AH21" s="278">
        <v>37.1</v>
      </c>
      <c r="AI21" s="280" t="s">
        <v>83</v>
      </c>
    </row>
    <row r="22" spans="1:35" x14ac:dyDescent="0.3">
      <c r="B22" s="266" t="s">
        <v>331</v>
      </c>
      <c r="C22" s="267" t="s">
        <v>374</v>
      </c>
      <c r="D22" s="268">
        <v>0</v>
      </c>
      <c r="E22" s="268">
        <v>0</v>
      </c>
      <c r="F22" s="268">
        <v>0.05</v>
      </c>
      <c r="G22" s="266" t="s">
        <v>93</v>
      </c>
      <c r="I22" s="271" t="s">
        <v>184</v>
      </c>
      <c r="J22" s="271">
        <v>37.5</v>
      </c>
      <c r="K22" s="271">
        <v>81.8</v>
      </c>
      <c r="L22" s="271">
        <v>0.03</v>
      </c>
      <c r="M22" s="271">
        <v>0.2</v>
      </c>
      <c r="N22" s="272" t="s">
        <v>83</v>
      </c>
      <c r="W22" s="277" t="s">
        <v>168</v>
      </c>
      <c r="X22" s="267">
        <v>0</v>
      </c>
      <c r="Y22" s="267">
        <v>0</v>
      </c>
      <c r="Z22" s="267">
        <v>0</v>
      </c>
      <c r="AA22" s="267">
        <v>22.1</v>
      </c>
      <c r="AB22" s="266" t="s">
        <v>83</v>
      </c>
      <c r="AD22" s="279" t="s">
        <v>165</v>
      </c>
      <c r="AE22" s="278">
        <v>0</v>
      </c>
      <c r="AF22" s="278">
        <v>0</v>
      </c>
      <c r="AG22" s="278">
        <v>0</v>
      </c>
      <c r="AH22" s="278">
        <v>31.1</v>
      </c>
      <c r="AI22" s="280" t="s">
        <v>83</v>
      </c>
    </row>
    <row r="23" spans="1:35" x14ac:dyDescent="0.3">
      <c r="A23" s="77" t="s">
        <v>313</v>
      </c>
      <c r="B23" s="266" t="s">
        <v>185</v>
      </c>
      <c r="C23" s="267" t="s">
        <v>186</v>
      </c>
      <c r="D23" s="268" t="s">
        <v>187</v>
      </c>
      <c r="E23" s="268">
        <v>0.01</v>
      </c>
      <c r="F23" s="268" t="s">
        <v>188</v>
      </c>
      <c r="G23" s="266" t="s">
        <v>74</v>
      </c>
      <c r="I23" s="271" t="s">
        <v>189</v>
      </c>
      <c r="J23" s="271">
        <v>1.8100000000000002E-2</v>
      </c>
      <c r="K23" s="271">
        <v>37</v>
      </c>
      <c r="L23" s="271">
        <v>0.03</v>
      </c>
      <c r="M23" s="271">
        <v>0.05</v>
      </c>
      <c r="N23" s="272" t="s">
        <v>93</v>
      </c>
      <c r="W23" s="277" t="s">
        <v>173</v>
      </c>
      <c r="X23" s="267">
        <v>0</v>
      </c>
      <c r="Y23" s="267">
        <v>0</v>
      </c>
      <c r="Z23" s="267">
        <v>0</v>
      </c>
      <c r="AA23" s="267">
        <v>27</v>
      </c>
      <c r="AB23" s="266" t="s">
        <v>83</v>
      </c>
      <c r="AD23" s="279" t="s">
        <v>168</v>
      </c>
      <c r="AE23" s="278">
        <v>0</v>
      </c>
      <c r="AF23" s="278">
        <v>0</v>
      </c>
      <c r="AG23" s="278">
        <v>0</v>
      </c>
      <c r="AH23" s="278">
        <v>22.1</v>
      </c>
      <c r="AI23" s="280" t="s">
        <v>83</v>
      </c>
    </row>
    <row r="24" spans="1:35" x14ac:dyDescent="0.3">
      <c r="A24" s="77" t="s">
        <v>313</v>
      </c>
      <c r="B24" s="266" t="s">
        <v>190</v>
      </c>
      <c r="C24" s="267" t="s">
        <v>191</v>
      </c>
      <c r="D24" s="268" t="s">
        <v>192</v>
      </c>
      <c r="E24" s="268">
        <v>2.8</v>
      </c>
      <c r="F24" s="268">
        <v>0.3</v>
      </c>
      <c r="G24" s="266" t="s">
        <v>74</v>
      </c>
      <c r="I24" s="271" t="s">
        <v>193</v>
      </c>
      <c r="J24" s="271">
        <v>30</v>
      </c>
      <c r="K24" s="271">
        <v>91.8</v>
      </c>
      <c r="L24" s="271">
        <v>0.03</v>
      </c>
      <c r="M24" s="271">
        <v>0.2</v>
      </c>
      <c r="N24" s="272" t="s">
        <v>83</v>
      </c>
      <c r="W24" s="277" t="s">
        <v>177</v>
      </c>
      <c r="X24" s="267">
        <v>0</v>
      </c>
      <c r="Y24" s="267">
        <v>0</v>
      </c>
      <c r="Z24" s="267">
        <v>0</v>
      </c>
      <c r="AA24" s="267">
        <v>3.7699999999999997E-2</v>
      </c>
      <c r="AB24" s="266" t="s">
        <v>93</v>
      </c>
      <c r="AD24" s="279" t="s">
        <v>173</v>
      </c>
      <c r="AE24" s="278">
        <v>0</v>
      </c>
      <c r="AF24" s="278">
        <v>0</v>
      </c>
      <c r="AG24" s="278">
        <v>0</v>
      </c>
      <c r="AH24" s="278">
        <v>27</v>
      </c>
      <c r="AI24" s="280" t="s">
        <v>83</v>
      </c>
    </row>
    <row r="25" spans="1:35" x14ac:dyDescent="0.3">
      <c r="A25" s="77" t="s">
        <v>313</v>
      </c>
      <c r="B25" s="266" t="s">
        <v>194</v>
      </c>
      <c r="C25" s="267" t="s">
        <v>191</v>
      </c>
      <c r="D25" s="268" t="s">
        <v>192</v>
      </c>
      <c r="E25" s="268">
        <v>7.3</v>
      </c>
      <c r="F25" s="268">
        <v>0.3</v>
      </c>
      <c r="G25" s="266" t="s">
        <v>74</v>
      </c>
      <c r="I25" s="271" t="s">
        <v>195</v>
      </c>
      <c r="J25" s="271">
        <v>3.9300000000000002E-2</v>
      </c>
      <c r="K25" s="271">
        <v>51.4</v>
      </c>
      <c r="L25" s="271">
        <v>0.1</v>
      </c>
      <c r="M25" s="271">
        <v>0.03</v>
      </c>
      <c r="N25" s="272" t="s">
        <v>93</v>
      </c>
      <c r="W25" s="277" t="s">
        <v>181</v>
      </c>
      <c r="X25" s="267">
        <v>0</v>
      </c>
      <c r="Y25" s="267">
        <v>0</v>
      </c>
      <c r="Z25" s="267">
        <v>0</v>
      </c>
      <c r="AA25" s="267">
        <v>3.7699999999999997E-2</v>
      </c>
      <c r="AB25" s="266" t="s">
        <v>93</v>
      </c>
      <c r="AD25" s="279" t="s">
        <v>177</v>
      </c>
      <c r="AE25" s="278">
        <v>0</v>
      </c>
      <c r="AF25" s="278">
        <v>0</v>
      </c>
      <c r="AG25" s="278">
        <v>0</v>
      </c>
      <c r="AH25" s="278">
        <v>3.7699999999999997E-2</v>
      </c>
      <c r="AI25" s="280" t="s">
        <v>93</v>
      </c>
    </row>
    <row r="26" spans="1:35" x14ac:dyDescent="0.3">
      <c r="A26" s="77" t="s">
        <v>314</v>
      </c>
      <c r="B26" s="266" t="s">
        <v>196</v>
      </c>
      <c r="C26" s="267" t="s">
        <v>197</v>
      </c>
      <c r="D26" s="268" t="s">
        <v>198</v>
      </c>
      <c r="E26" s="268">
        <v>0.5</v>
      </c>
      <c r="F26" s="268">
        <v>0.3</v>
      </c>
      <c r="G26" s="266" t="s">
        <v>74</v>
      </c>
      <c r="I26" s="271" t="s">
        <v>319</v>
      </c>
      <c r="J26" s="271">
        <v>45.3</v>
      </c>
      <c r="K26" s="271">
        <v>69.599999999999994</v>
      </c>
      <c r="L26" s="271">
        <v>0.08</v>
      </c>
      <c r="M26" s="271">
        <v>0.2</v>
      </c>
      <c r="N26" s="272" t="s">
        <v>83</v>
      </c>
      <c r="W26" s="277" t="s">
        <v>184</v>
      </c>
      <c r="X26" s="267">
        <v>0</v>
      </c>
      <c r="Y26" s="267">
        <v>0</v>
      </c>
      <c r="Z26" s="267">
        <v>0</v>
      </c>
      <c r="AA26" s="267">
        <v>37.5</v>
      </c>
      <c r="AB26" s="266" t="s">
        <v>83</v>
      </c>
      <c r="AD26" s="279" t="s">
        <v>181</v>
      </c>
      <c r="AE26" s="278">
        <v>0</v>
      </c>
      <c r="AF26" s="278">
        <v>0</v>
      </c>
      <c r="AG26" s="278">
        <v>0</v>
      </c>
      <c r="AH26" s="278">
        <v>3.7699999999999997E-2</v>
      </c>
      <c r="AI26" s="280" t="s">
        <v>93</v>
      </c>
    </row>
    <row r="27" spans="1:35" x14ac:dyDescent="0.3">
      <c r="A27" s="77" t="s">
        <v>313</v>
      </c>
      <c r="B27" s="266" t="s">
        <v>77</v>
      </c>
      <c r="C27" s="267" t="s">
        <v>197</v>
      </c>
      <c r="D27" s="268" t="s">
        <v>198</v>
      </c>
      <c r="E27" s="268">
        <v>0.7</v>
      </c>
      <c r="F27" s="268">
        <v>0.6</v>
      </c>
      <c r="G27" s="266" t="s">
        <v>74</v>
      </c>
      <c r="H27" s="103"/>
      <c r="I27" s="271" t="s">
        <v>136</v>
      </c>
      <c r="J27" s="271">
        <v>38.6</v>
      </c>
      <c r="K27" s="271">
        <v>69.900000000000006</v>
      </c>
      <c r="L27" s="271">
        <v>0.1</v>
      </c>
      <c r="M27" s="271">
        <v>0.2</v>
      </c>
      <c r="N27" s="272" t="s">
        <v>74</v>
      </c>
      <c r="W27" s="277" t="s">
        <v>189</v>
      </c>
      <c r="X27" s="267">
        <v>0</v>
      </c>
      <c r="Y27" s="267">
        <v>0</v>
      </c>
      <c r="Z27" s="267">
        <v>0</v>
      </c>
      <c r="AA27" s="267">
        <v>1.8100000000000002E-2</v>
      </c>
      <c r="AB27" s="266" t="s">
        <v>93</v>
      </c>
      <c r="AD27" s="279" t="s">
        <v>184</v>
      </c>
      <c r="AE27" s="278">
        <v>0</v>
      </c>
      <c r="AF27" s="278">
        <v>0</v>
      </c>
      <c r="AG27" s="278">
        <v>0</v>
      </c>
      <c r="AH27" s="278">
        <v>37.5</v>
      </c>
      <c r="AI27" s="280" t="s">
        <v>83</v>
      </c>
    </row>
    <row r="28" spans="1:35" x14ac:dyDescent="0.3">
      <c r="A28" s="77" t="s">
        <v>313</v>
      </c>
      <c r="B28" s="266" t="s">
        <v>200</v>
      </c>
      <c r="C28" s="268" t="s">
        <v>115</v>
      </c>
      <c r="D28" s="268" t="s">
        <v>192</v>
      </c>
      <c r="E28" s="268">
        <v>7.3</v>
      </c>
      <c r="F28" s="268">
        <v>0.3</v>
      </c>
      <c r="G28" s="270" t="s">
        <v>93</v>
      </c>
      <c r="H28" s="103"/>
      <c r="I28" s="271" t="s">
        <v>201</v>
      </c>
      <c r="J28" s="271">
        <v>16.2</v>
      </c>
      <c r="K28" s="271">
        <v>0</v>
      </c>
      <c r="L28" s="271">
        <v>0.1</v>
      </c>
      <c r="M28" s="271">
        <v>1.1000000000000001</v>
      </c>
      <c r="N28" s="272" t="s">
        <v>83</v>
      </c>
      <c r="W28" s="277" t="s">
        <v>193</v>
      </c>
      <c r="X28" s="267">
        <v>0</v>
      </c>
      <c r="Y28" s="267">
        <v>0</v>
      </c>
      <c r="Z28" s="267">
        <v>0</v>
      </c>
      <c r="AA28" s="267">
        <v>30</v>
      </c>
      <c r="AB28" s="266" t="s">
        <v>83</v>
      </c>
      <c r="AD28" s="279" t="s">
        <v>189</v>
      </c>
      <c r="AE28" s="278">
        <v>0</v>
      </c>
      <c r="AF28" s="278">
        <v>0</v>
      </c>
      <c r="AG28" s="278">
        <v>0</v>
      </c>
      <c r="AH28" s="278">
        <v>1.8100000000000002E-2</v>
      </c>
      <c r="AI28" s="280" t="s">
        <v>93</v>
      </c>
    </row>
    <row r="29" spans="1:35" x14ac:dyDescent="0.3">
      <c r="A29" s="77" t="s">
        <v>313</v>
      </c>
      <c r="B29" s="266" t="s">
        <v>202</v>
      </c>
      <c r="C29" s="268" t="s">
        <v>115</v>
      </c>
      <c r="D29" s="268" t="s">
        <v>192</v>
      </c>
      <c r="E29" s="268">
        <v>2.8</v>
      </c>
      <c r="F29" s="268">
        <v>0.3</v>
      </c>
      <c r="G29" s="270" t="s">
        <v>93</v>
      </c>
      <c r="H29" s="105"/>
      <c r="I29" s="271" t="s">
        <v>203</v>
      </c>
      <c r="J29" s="271">
        <v>6.2899999999999998E-2</v>
      </c>
      <c r="K29" s="271">
        <v>56.5</v>
      </c>
      <c r="L29" s="271">
        <v>0.03</v>
      </c>
      <c r="M29" s="271">
        <v>0.03</v>
      </c>
      <c r="N29" s="272" t="s">
        <v>93</v>
      </c>
      <c r="W29" s="277" t="s">
        <v>204</v>
      </c>
      <c r="X29" s="267">
        <v>0</v>
      </c>
      <c r="Y29" s="267">
        <v>0</v>
      </c>
      <c r="Z29" s="267">
        <v>0</v>
      </c>
      <c r="AA29" s="267" t="s">
        <v>115</v>
      </c>
      <c r="AB29" s="266" t="s">
        <v>93</v>
      </c>
      <c r="AD29" s="279" t="s">
        <v>193</v>
      </c>
      <c r="AE29" s="278">
        <v>0</v>
      </c>
      <c r="AF29" s="278">
        <v>0</v>
      </c>
      <c r="AG29" s="278">
        <v>0</v>
      </c>
      <c r="AH29" s="278">
        <v>30</v>
      </c>
      <c r="AI29" s="280" t="s">
        <v>83</v>
      </c>
    </row>
    <row r="30" spans="1:35" x14ac:dyDescent="0.3">
      <c r="A30" s="77" t="s">
        <v>313</v>
      </c>
      <c r="B30" s="89" t="s">
        <v>333</v>
      </c>
      <c r="C30" s="291">
        <v>36.799999999999997</v>
      </c>
      <c r="D30" s="291">
        <v>0</v>
      </c>
      <c r="E30" s="291">
        <v>0.01</v>
      </c>
      <c r="F30" s="291">
        <v>0.6</v>
      </c>
      <c r="G30" s="104" t="s">
        <v>74</v>
      </c>
      <c r="H30" s="105"/>
      <c r="I30" s="271" t="s">
        <v>98</v>
      </c>
      <c r="J30" s="271">
        <v>23.4</v>
      </c>
      <c r="K30" s="271">
        <v>0</v>
      </c>
      <c r="L30" s="271">
        <v>0.08</v>
      </c>
      <c r="M30" s="271">
        <v>0.2</v>
      </c>
      <c r="N30" s="272" t="s">
        <v>74</v>
      </c>
      <c r="W30" s="277" t="s">
        <v>319</v>
      </c>
      <c r="X30" s="267">
        <v>0</v>
      </c>
      <c r="Y30" s="267">
        <v>0</v>
      </c>
      <c r="Z30" s="267">
        <v>0</v>
      </c>
      <c r="AA30" s="267" t="s">
        <v>205</v>
      </c>
      <c r="AB30" s="266" t="s">
        <v>83</v>
      </c>
      <c r="AD30" s="279" t="s">
        <v>204</v>
      </c>
      <c r="AE30" s="278">
        <v>0</v>
      </c>
      <c r="AF30" s="278">
        <v>0</v>
      </c>
      <c r="AG30" s="278">
        <v>0</v>
      </c>
      <c r="AH30" s="278" t="s">
        <v>115</v>
      </c>
      <c r="AI30" s="280" t="s">
        <v>93</v>
      </c>
    </row>
    <row r="31" spans="1:35" x14ac:dyDescent="0.3">
      <c r="A31" s="77" t="s">
        <v>313</v>
      </c>
      <c r="B31" s="89" t="s">
        <v>334</v>
      </c>
      <c r="C31" s="292">
        <v>38.6</v>
      </c>
      <c r="D31" s="292">
        <v>0</v>
      </c>
      <c r="E31" s="292">
        <v>0.1</v>
      </c>
      <c r="F31" s="292">
        <v>0.4</v>
      </c>
      <c r="G31" s="104" t="s">
        <v>74</v>
      </c>
      <c r="H31" s="105"/>
      <c r="I31" s="271" t="s">
        <v>170</v>
      </c>
      <c r="J31" s="271">
        <v>39.700000000000003</v>
      </c>
      <c r="K31" s="271">
        <v>73.599999999999994</v>
      </c>
      <c r="L31" s="271">
        <v>0.04</v>
      </c>
      <c r="M31" s="271">
        <v>0.2</v>
      </c>
      <c r="N31" s="272" t="s">
        <v>74</v>
      </c>
      <c r="W31" s="277" t="s">
        <v>136</v>
      </c>
      <c r="X31" s="267">
        <v>0</v>
      </c>
      <c r="Y31" s="267">
        <v>0</v>
      </c>
      <c r="Z31" s="267">
        <v>0</v>
      </c>
      <c r="AA31" s="267" t="s">
        <v>146</v>
      </c>
      <c r="AB31" s="266" t="s">
        <v>74</v>
      </c>
      <c r="AD31" s="279" t="s">
        <v>319</v>
      </c>
      <c r="AE31" s="278">
        <v>0</v>
      </c>
      <c r="AF31" s="278">
        <v>0</v>
      </c>
      <c r="AG31" s="278">
        <v>0</v>
      </c>
      <c r="AH31" s="278" t="s">
        <v>205</v>
      </c>
      <c r="AI31" s="280" t="s">
        <v>83</v>
      </c>
    </row>
    <row r="32" spans="1:35" x14ac:dyDescent="0.3">
      <c r="A32" s="77" t="s">
        <v>335</v>
      </c>
      <c r="B32" s="89" t="s">
        <v>336</v>
      </c>
      <c r="C32" s="90" t="s">
        <v>146</v>
      </c>
      <c r="D32" s="291">
        <v>0</v>
      </c>
      <c r="E32" s="291">
        <v>0.01</v>
      </c>
      <c r="F32" s="291">
        <v>0.5</v>
      </c>
      <c r="G32" s="104" t="s">
        <v>74</v>
      </c>
      <c r="H32" s="105"/>
      <c r="I32" s="271" t="s">
        <v>180</v>
      </c>
      <c r="J32" s="271">
        <v>34.200000000000003</v>
      </c>
      <c r="K32" s="271">
        <v>67.400000000000006</v>
      </c>
      <c r="L32" s="271">
        <v>0.2</v>
      </c>
      <c r="M32" s="271">
        <v>0.2</v>
      </c>
      <c r="N32" s="272" t="s">
        <v>74</v>
      </c>
      <c r="W32" s="277" t="s">
        <v>201</v>
      </c>
      <c r="X32" s="267">
        <v>0</v>
      </c>
      <c r="Y32" s="267">
        <v>0</v>
      </c>
      <c r="Z32" s="267">
        <v>0</v>
      </c>
      <c r="AA32" s="267" t="s">
        <v>206</v>
      </c>
      <c r="AB32" s="266" t="s">
        <v>83</v>
      </c>
      <c r="AD32" s="279" t="s">
        <v>136</v>
      </c>
      <c r="AE32" s="278">
        <v>0</v>
      </c>
      <c r="AF32" s="278">
        <v>0</v>
      </c>
      <c r="AG32" s="278">
        <v>0</v>
      </c>
      <c r="AH32" s="278" t="s">
        <v>146</v>
      </c>
      <c r="AI32" s="280" t="s">
        <v>74</v>
      </c>
    </row>
    <row r="33" spans="1:35" x14ac:dyDescent="0.3">
      <c r="A33" s="77" t="s">
        <v>315</v>
      </c>
      <c r="B33" s="89" t="s">
        <v>337</v>
      </c>
      <c r="C33" s="90" t="s">
        <v>146</v>
      </c>
      <c r="D33" s="89">
        <v>0</v>
      </c>
      <c r="E33" s="90" t="s">
        <v>338</v>
      </c>
      <c r="F33" s="90" t="s">
        <v>339</v>
      </c>
      <c r="G33" s="104" t="s">
        <v>74</v>
      </c>
      <c r="H33" s="105"/>
      <c r="I33" s="271" t="s">
        <v>207</v>
      </c>
      <c r="J33" s="271">
        <v>33.1</v>
      </c>
      <c r="K33" s="271">
        <v>67</v>
      </c>
      <c r="L33" s="271">
        <v>0.2</v>
      </c>
      <c r="M33" s="271">
        <v>0.2</v>
      </c>
      <c r="N33" s="272" t="s">
        <v>74</v>
      </c>
      <c r="W33" s="274" t="s">
        <v>118</v>
      </c>
      <c r="X33" s="274">
        <v>0</v>
      </c>
      <c r="Y33" s="274">
        <v>0</v>
      </c>
      <c r="Z33" s="274">
        <v>0</v>
      </c>
      <c r="AA33" s="274">
        <v>3.5999999999999999E-3</v>
      </c>
      <c r="AB33" s="274" t="s">
        <v>31</v>
      </c>
      <c r="AD33" s="279" t="s">
        <v>201</v>
      </c>
      <c r="AE33" s="278">
        <v>0</v>
      </c>
      <c r="AF33" s="278">
        <v>0</v>
      </c>
      <c r="AG33" s="278">
        <v>0</v>
      </c>
      <c r="AH33" s="278" t="s">
        <v>206</v>
      </c>
      <c r="AI33" s="280" t="s">
        <v>83</v>
      </c>
    </row>
    <row r="34" spans="1:35" x14ac:dyDescent="0.3">
      <c r="A34" s="77" t="s">
        <v>315</v>
      </c>
      <c r="B34" s="89" t="s">
        <v>340</v>
      </c>
      <c r="C34" s="90" t="s">
        <v>146</v>
      </c>
      <c r="D34" s="89">
        <v>0</v>
      </c>
      <c r="E34" s="90" t="s">
        <v>150</v>
      </c>
      <c r="F34" s="90" t="s">
        <v>339</v>
      </c>
      <c r="G34" s="104" t="s">
        <v>74</v>
      </c>
      <c r="I34" s="271" t="s">
        <v>208</v>
      </c>
      <c r="J34" s="271">
        <v>10.4</v>
      </c>
      <c r="K34" s="271">
        <v>0</v>
      </c>
      <c r="L34" s="271">
        <v>0.1</v>
      </c>
      <c r="M34" s="271">
        <v>1.1000000000000001</v>
      </c>
      <c r="N34" s="272" t="s">
        <v>83</v>
      </c>
      <c r="W34" s="277" t="s">
        <v>203</v>
      </c>
      <c r="X34" s="267">
        <v>0</v>
      </c>
      <c r="Y34" s="267">
        <v>0</v>
      </c>
      <c r="Z34" s="267">
        <v>0</v>
      </c>
      <c r="AA34" s="267" t="s">
        <v>209</v>
      </c>
      <c r="AB34" s="266" t="s">
        <v>93</v>
      </c>
      <c r="AD34" s="279" t="s">
        <v>203</v>
      </c>
      <c r="AE34" s="278">
        <v>0</v>
      </c>
      <c r="AF34" s="278">
        <v>0</v>
      </c>
      <c r="AG34" s="278">
        <v>0</v>
      </c>
      <c r="AH34" s="278" t="s">
        <v>209</v>
      </c>
      <c r="AI34" s="280" t="s">
        <v>93</v>
      </c>
    </row>
    <row r="35" spans="1:35" x14ac:dyDescent="0.3">
      <c r="A35" s="77" t="s">
        <v>315</v>
      </c>
      <c r="B35" s="89" t="s">
        <v>341</v>
      </c>
      <c r="C35" s="90" t="s">
        <v>146</v>
      </c>
      <c r="D35" s="89">
        <v>0</v>
      </c>
      <c r="E35" s="90" t="s">
        <v>342</v>
      </c>
      <c r="F35" s="90" t="s">
        <v>339</v>
      </c>
      <c r="G35" s="89" t="s">
        <v>74</v>
      </c>
      <c r="I35" s="271" t="s">
        <v>210</v>
      </c>
      <c r="J35" s="271">
        <v>37.299999999999997</v>
      </c>
      <c r="K35" s="271">
        <v>69.5</v>
      </c>
      <c r="L35" s="271">
        <v>0.03</v>
      </c>
      <c r="M35" s="271">
        <v>0.2</v>
      </c>
      <c r="N35" s="272" t="s">
        <v>74</v>
      </c>
      <c r="W35" s="277" t="s">
        <v>98</v>
      </c>
      <c r="X35" s="267">
        <v>0</v>
      </c>
      <c r="Y35" s="267">
        <v>0</v>
      </c>
      <c r="Z35" s="267">
        <v>0</v>
      </c>
      <c r="AA35" s="267" t="s">
        <v>164</v>
      </c>
      <c r="AB35" s="266" t="s">
        <v>74</v>
      </c>
      <c r="AD35" s="279" t="s">
        <v>98</v>
      </c>
      <c r="AE35" s="278">
        <v>0</v>
      </c>
      <c r="AF35" s="278">
        <v>0</v>
      </c>
      <c r="AG35" s="278">
        <v>0</v>
      </c>
      <c r="AH35" s="278" t="s">
        <v>164</v>
      </c>
      <c r="AI35" s="280" t="s">
        <v>74</v>
      </c>
    </row>
    <row r="36" spans="1:35" x14ac:dyDescent="0.3">
      <c r="I36" s="271" t="s">
        <v>331</v>
      </c>
      <c r="J36" s="271">
        <v>1.2200000000000001E-2</v>
      </c>
      <c r="K36" s="271">
        <v>0</v>
      </c>
      <c r="L36" s="271">
        <v>0</v>
      </c>
      <c r="M36" s="271">
        <v>0.05</v>
      </c>
      <c r="N36" s="272" t="s">
        <v>93</v>
      </c>
      <c r="W36" s="277" t="s">
        <v>212</v>
      </c>
      <c r="X36" s="267">
        <v>0</v>
      </c>
      <c r="Y36" s="267">
        <v>0</v>
      </c>
      <c r="Z36" s="267">
        <v>0</v>
      </c>
      <c r="AA36" s="267" t="s">
        <v>213</v>
      </c>
      <c r="AB36" s="266" t="s">
        <v>83</v>
      </c>
      <c r="AD36" s="279" t="s">
        <v>212</v>
      </c>
      <c r="AE36" s="278">
        <v>0</v>
      </c>
      <c r="AF36" s="278">
        <v>0</v>
      </c>
      <c r="AG36" s="278">
        <v>0</v>
      </c>
      <c r="AH36" s="278" t="s">
        <v>213</v>
      </c>
      <c r="AI36" s="280" t="s">
        <v>83</v>
      </c>
    </row>
    <row r="37" spans="1:35" x14ac:dyDescent="0.3">
      <c r="B37" s="2" t="s">
        <v>108</v>
      </c>
      <c r="I37" s="271" t="s">
        <v>320</v>
      </c>
      <c r="J37" s="271">
        <v>26.3</v>
      </c>
      <c r="K37" s="271">
        <v>81.599999999999994</v>
      </c>
      <c r="L37" s="271">
        <v>0.03</v>
      </c>
      <c r="M37" s="271">
        <v>0.2</v>
      </c>
      <c r="N37" s="272" t="s">
        <v>83</v>
      </c>
      <c r="W37" s="277" t="s">
        <v>170</v>
      </c>
      <c r="X37" s="267">
        <v>0</v>
      </c>
      <c r="Y37" s="267">
        <v>0</v>
      </c>
      <c r="Z37" s="267">
        <v>0</v>
      </c>
      <c r="AA37" s="267" t="s">
        <v>171</v>
      </c>
      <c r="AB37" s="266" t="s">
        <v>74</v>
      </c>
      <c r="AD37" s="279" t="s">
        <v>170</v>
      </c>
      <c r="AE37" s="278">
        <v>0</v>
      </c>
      <c r="AF37" s="278">
        <v>0</v>
      </c>
      <c r="AG37" s="278">
        <v>0</v>
      </c>
      <c r="AH37" s="278" t="s">
        <v>171</v>
      </c>
      <c r="AI37" s="280" t="s">
        <v>74</v>
      </c>
    </row>
    <row r="38" spans="1:35" x14ac:dyDescent="0.3">
      <c r="I38" s="271" t="s">
        <v>214</v>
      </c>
      <c r="J38" s="271">
        <v>37.5</v>
      </c>
      <c r="K38" s="271">
        <v>68.900000000000006</v>
      </c>
      <c r="L38" s="271">
        <v>0.01</v>
      </c>
      <c r="M38" s="271">
        <v>0.2</v>
      </c>
      <c r="N38" s="272" t="s">
        <v>74</v>
      </c>
      <c r="W38" s="277" t="s">
        <v>216</v>
      </c>
      <c r="X38" s="267">
        <v>0</v>
      </c>
      <c r="Y38" s="267">
        <v>0</v>
      </c>
      <c r="Z38" s="267">
        <v>0</v>
      </c>
      <c r="AA38" s="267" t="s">
        <v>115</v>
      </c>
      <c r="AB38" s="266" t="s">
        <v>93</v>
      </c>
      <c r="AD38" s="279" t="s">
        <v>216</v>
      </c>
      <c r="AE38" s="278">
        <v>0</v>
      </c>
      <c r="AF38" s="278">
        <v>0</v>
      </c>
      <c r="AG38" s="278">
        <v>0</v>
      </c>
      <c r="AH38" s="278" t="s">
        <v>115</v>
      </c>
      <c r="AI38" s="280" t="s">
        <v>93</v>
      </c>
    </row>
    <row r="39" spans="1:35" x14ac:dyDescent="0.3">
      <c r="I39" s="271" t="s">
        <v>215</v>
      </c>
      <c r="J39" s="271">
        <v>36.799999999999997</v>
      </c>
      <c r="K39" s="271">
        <v>69.599999999999994</v>
      </c>
      <c r="L39" s="271">
        <v>0.02</v>
      </c>
      <c r="M39" s="271">
        <v>0.2</v>
      </c>
      <c r="N39" s="272" t="s">
        <v>74</v>
      </c>
      <c r="W39" s="277" t="s">
        <v>180</v>
      </c>
      <c r="X39" s="267">
        <v>0</v>
      </c>
      <c r="Y39" s="267">
        <v>0</v>
      </c>
      <c r="Z39" s="267">
        <v>0</v>
      </c>
      <c r="AA39" s="267" t="s">
        <v>82</v>
      </c>
      <c r="AB39" s="266" t="s">
        <v>74</v>
      </c>
      <c r="AD39" s="279" t="s">
        <v>180</v>
      </c>
      <c r="AE39" s="278">
        <v>0</v>
      </c>
      <c r="AF39" s="278">
        <v>0</v>
      </c>
      <c r="AG39" s="278">
        <v>0</v>
      </c>
      <c r="AH39" s="278" t="s">
        <v>82</v>
      </c>
      <c r="AI39" s="280" t="s">
        <v>74</v>
      </c>
    </row>
    <row r="40" spans="1:35" x14ac:dyDescent="0.3">
      <c r="I40" s="271" t="s">
        <v>217</v>
      </c>
      <c r="J40" s="271">
        <v>3.7699999999999997E-2</v>
      </c>
      <c r="K40" s="271">
        <v>0</v>
      </c>
      <c r="L40" s="271">
        <v>6.4</v>
      </c>
      <c r="M40" s="271">
        <v>0.03</v>
      </c>
      <c r="N40" s="272" t="s">
        <v>93</v>
      </c>
      <c r="W40" s="277" t="s">
        <v>219</v>
      </c>
      <c r="X40" s="267">
        <v>0</v>
      </c>
      <c r="Y40" s="267">
        <v>0</v>
      </c>
      <c r="Z40" s="267">
        <v>0</v>
      </c>
      <c r="AA40" s="267" t="s">
        <v>182</v>
      </c>
      <c r="AB40" s="266" t="s">
        <v>74</v>
      </c>
      <c r="AD40" s="279" t="s">
        <v>219</v>
      </c>
      <c r="AE40" s="278">
        <v>0</v>
      </c>
      <c r="AF40" s="278">
        <v>0</v>
      </c>
      <c r="AG40" s="278">
        <v>0</v>
      </c>
      <c r="AH40" s="278" t="s">
        <v>182</v>
      </c>
      <c r="AI40" s="280" t="s">
        <v>74</v>
      </c>
    </row>
    <row r="41" spans="1:35" x14ac:dyDescent="0.3">
      <c r="I41" s="271" t="s">
        <v>218</v>
      </c>
      <c r="J41" s="271">
        <v>34.4</v>
      </c>
      <c r="K41" s="271">
        <v>69.7</v>
      </c>
      <c r="L41" s="271">
        <v>0.03</v>
      </c>
      <c r="M41" s="271">
        <v>0.2</v>
      </c>
      <c r="N41" s="272" t="s">
        <v>74</v>
      </c>
      <c r="W41" s="277" t="s">
        <v>208</v>
      </c>
      <c r="X41" s="267">
        <v>0</v>
      </c>
      <c r="Y41" s="267">
        <v>0</v>
      </c>
      <c r="Z41" s="267">
        <v>0</v>
      </c>
      <c r="AA41" s="267" t="s">
        <v>222</v>
      </c>
      <c r="AB41" s="266" t="s">
        <v>83</v>
      </c>
      <c r="AD41" s="279" t="s">
        <v>208</v>
      </c>
      <c r="AE41" s="278">
        <v>0</v>
      </c>
      <c r="AF41" s="278">
        <v>0</v>
      </c>
      <c r="AG41" s="278">
        <v>0</v>
      </c>
      <c r="AH41" s="278" t="s">
        <v>222</v>
      </c>
      <c r="AI41" s="280" t="s">
        <v>83</v>
      </c>
    </row>
    <row r="42" spans="1:35" x14ac:dyDescent="0.3">
      <c r="I42" s="271" t="s">
        <v>221</v>
      </c>
      <c r="J42" s="271">
        <v>25.3</v>
      </c>
      <c r="K42" s="271">
        <v>51.4</v>
      </c>
      <c r="L42" s="271">
        <v>0.1</v>
      </c>
      <c r="M42" s="271">
        <v>0.03</v>
      </c>
      <c r="N42" s="272" t="s">
        <v>74</v>
      </c>
      <c r="W42" s="277" t="s">
        <v>210</v>
      </c>
      <c r="X42" s="267">
        <v>0</v>
      </c>
      <c r="Y42" s="267">
        <v>0</v>
      </c>
      <c r="Z42" s="267">
        <v>0</v>
      </c>
      <c r="AA42" s="267" t="s">
        <v>223</v>
      </c>
      <c r="AB42" s="266" t="s">
        <v>74</v>
      </c>
      <c r="AD42" s="279" t="s">
        <v>210</v>
      </c>
      <c r="AE42" s="278">
        <v>0</v>
      </c>
      <c r="AF42" s="278">
        <v>0</v>
      </c>
      <c r="AG42" s="278">
        <v>0</v>
      </c>
      <c r="AH42" s="278" t="s">
        <v>223</v>
      </c>
      <c r="AI42" s="280" t="s">
        <v>74</v>
      </c>
    </row>
    <row r="43" spans="1:35" x14ac:dyDescent="0.3">
      <c r="I43" s="271" t="s">
        <v>77</v>
      </c>
      <c r="J43" s="271">
        <v>25.7</v>
      </c>
      <c r="K43" s="271">
        <v>60.2</v>
      </c>
      <c r="L43" s="271">
        <v>0.2</v>
      </c>
      <c r="M43" s="271">
        <v>0.2</v>
      </c>
      <c r="N43" s="272" t="s">
        <v>74</v>
      </c>
      <c r="W43" s="277" t="s">
        <v>331</v>
      </c>
      <c r="X43" s="267" t="s">
        <v>317</v>
      </c>
      <c r="Y43" s="267" t="s">
        <v>317</v>
      </c>
      <c r="Z43" s="267" t="s">
        <v>317</v>
      </c>
      <c r="AA43" s="267" t="s">
        <v>374</v>
      </c>
      <c r="AB43" s="266" t="s">
        <v>93</v>
      </c>
      <c r="AD43" s="279" t="s">
        <v>331</v>
      </c>
      <c r="AE43" s="278" t="s">
        <v>317</v>
      </c>
      <c r="AF43" s="278" t="s">
        <v>317</v>
      </c>
      <c r="AG43" s="278" t="s">
        <v>317</v>
      </c>
      <c r="AH43" s="278" t="s">
        <v>374</v>
      </c>
      <c r="AI43" s="280" t="s">
        <v>93</v>
      </c>
    </row>
    <row r="44" spans="1:35" x14ac:dyDescent="0.3">
      <c r="I44" s="271" t="s">
        <v>80</v>
      </c>
      <c r="J44" s="271">
        <v>31.4</v>
      </c>
      <c r="K44" s="271">
        <v>69.8</v>
      </c>
      <c r="L44" s="271">
        <v>0.01</v>
      </c>
      <c r="M44" s="271">
        <v>0.01</v>
      </c>
      <c r="N44" s="272" t="s">
        <v>74</v>
      </c>
      <c r="W44" s="277" t="s">
        <v>320</v>
      </c>
      <c r="X44" s="267">
        <v>0</v>
      </c>
      <c r="Y44" s="267">
        <v>0</v>
      </c>
      <c r="Z44" s="267">
        <v>0</v>
      </c>
      <c r="AA44" s="267" t="s">
        <v>225</v>
      </c>
      <c r="AB44" s="266" t="s">
        <v>83</v>
      </c>
      <c r="AD44" s="279" t="s">
        <v>320</v>
      </c>
      <c r="AE44" s="278">
        <v>0</v>
      </c>
      <c r="AF44" s="278">
        <v>0</v>
      </c>
      <c r="AG44" s="278">
        <v>0</v>
      </c>
      <c r="AH44" s="278" t="s">
        <v>225</v>
      </c>
      <c r="AI44" s="280" t="s">
        <v>83</v>
      </c>
    </row>
    <row r="45" spans="1:35" x14ac:dyDescent="0.3">
      <c r="I45" s="271" t="s">
        <v>220</v>
      </c>
      <c r="J45" s="271">
        <v>3.9300000000000002E-2</v>
      </c>
      <c r="K45" s="271">
        <v>51.4</v>
      </c>
      <c r="L45" s="271">
        <v>0.1</v>
      </c>
      <c r="M45" s="271">
        <v>0.03</v>
      </c>
      <c r="N45" s="272" t="s">
        <v>93</v>
      </c>
      <c r="W45" s="277" t="s">
        <v>214</v>
      </c>
      <c r="X45" s="267">
        <v>0</v>
      </c>
      <c r="Y45" s="267">
        <v>0</v>
      </c>
      <c r="Z45" s="267">
        <v>0</v>
      </c>
      <c r="AA45" s="267" t="s">
        <v>226</v>
      </c>
      <c r="AB45" s="266" t="s">
        <v>74</v>
      </c>
      <c r="AD45" s="279" t="s">
        <v>214</v>
      </c>
      <c r="AE45" s="278">
        <v>0</v>
      </c>
      <c r="AF45" s="278">
        <v>0</v>
      </c>
      <c r="AG45" s="278">
        <v>0</v>
      </c>
      <c r="AH45" s="278" t="s">
        <v>226</v>
      </c>
      <c r="AI45" s="280" t="s">
        <v>74</v>
      </c>
    </row>
    <row r="46" spans="1:35" x14ac:dyDescent="0.3">
      <c r="I46" s="271" t="s">
        <v>227</v>
      </c>
      <c r="J46" s="271">
        <v>10.5</v>
      </c>
      <c r="K46" s="271">
        <v>87.1</v>
      </c>
      <c r="L46" s="271">
        <v>0.8</v>
      </c>
      <c r="M46" s="271">
        <v>1</v>
      </c>
      <c r="N46" s="272" t="s">
        <v>83</v>
      </c>
      <c r="W46" s="277" t="s">
        <v>215</v>
      </c>
      <c r="X46" s="267">
        <v>0</v>
      </c>
      <c r="Y46" s="267">
        <v>0</v>
      </c>
      <c r="Z46" s="267">
        <v>0</v>
      </c>
      <c r="AA46" s="267" t="s">
        <v>186</v>
      </c>
      <c r="AB46" s="266" t="s">
        <v>74</v>
      </c>
      <c r="AD46" s="279" t="s">
        <v>215</v>
      </c>
      <c r="AE46" s="278">
        <v>0</v>
      </c>
      <c r="AF46" s="278">
        <v>0</v>
      </c>
      <c r="AG46" s="278">
        <v>0</v>
      </c>
      <c r="AH46" s="278" t="s">
        <v>186</v>
      </c>
      <c r="AI46" s="280" t="s">
        <v>74</v>
      </c>
    </row>
    <row r="47" spans="1:35" x14ac:dyDescent="0.3">
      <c r="I47" s="271" t="s">
        <v>103</v>
      </c>
      <c r="J47" s="271">
        <v>23.4</v>
      </c>
      <c r="K47" s="271">
        <v>0</v>
      </c>
      <c r="L47" s="271">
        <v>0.08</v>
      </c>
      <c r="M47" s="271">
        <v>0.2</v>
      </c>
      <c r="N47" s="272" t="s">
        <v>74</v>
      </c>
      <c r="W47" s="277" t="s">
        <v>217</v>
      </c>
      <c r="X47" s="267">
        <v>0</v>
      </c>
      <c r="Y47" s="267">
        <v>0</v>
      </c>
      <c r="Z47" s="267">
        <v>0</v>
      </c>
      <c r="AA47" s="267" t="s">
        <v>92</v>
      </c>
      <c r="AB47" s="266" t="s">
        <v>93</v>
      </c>
      <c r="AD47" s="279" t="s">
        <v>217</v>
      </c>
      <c r="AE47" s="278">
        <v>0</v>
      </c>
      <c r="AF47" s="278">
        <v>0</v>
      </c>
      <c r="AG47" s="278">
        <v>0</v>
      </c>
      <c r="AH47" s="278" t="s">
        <v>92</v>
      </c>
      <c r="AI47" s="280" t="s">
        <v>93</v>
      </c>
    </row>
    <row r="48" spans="1:35" x14ac:dyDescent="0.3">
      <c r="I48" s="271" t="s">
        <v>228</v>
      </c>
      <c r="J48" s="271">
        <v>3.7699999999999997E-2</v>
      </c>
      <c r="K48" s="271">
        <v>0</v>
      </c>
      <c r="L48" s="271">
        <v>6.4</v>
      </c>
      <c r="M48" s="271">
        <v>0.03</v>
      </c>
      <c r="N48" s="272" t="s">
        <v>93</v>
      </c>
      <c r="W48" s="277" t="s">
        <v>218</v>
      </c>
      <c r="X48" s="267">
        <v>0</v>
      </c>
      <c r="Y48" s="267">
        <v>0</v>
      </c>
      <c r="Z48" s="267">
        <v>0</v>
      </c>
      <c r="AA48" s="267" t="s">
        <v>79</v>
      </c>
      <c r="AB48" s="266" t="s">
        <v>74</v>
      </c>
      <c r="AD48" s="279" t="s">
        <v>218</v>
      </c>
      <c r="AE48" s="278">
        <v>0</v>
      </c>
      <c r="AF48" s="278">
        <v>0</v>
      </c>
      <c r="AG48" s="278">
        <v>0</v>
      </c>
      <c r="AH48" s="278" t="s">
        <v>79</v>
      </c>
      <c r="AI48" s="280" t="s">
        <v>74</v>
      </c>
    </row>
    <row r="49" spans="2:36" x14ac:dyDescent="0.3">
      <c r="I49" s="271" t="s">
        <v>216</v>
      </c>
      <c r="J49" s="271">
        <v>3.9300000000000002E-2</v>
      </c>
      <c r="K49" s="271">
        <v>51.4</v>
      </c>
      <c r="L49" s="271">
        <v>0.1</v>
      </c>
      <c r="M49" s="271">
        <v>0.03</v>
      </c>
      <c r="N49" s="272" t="s">
        <v>93</v>
      </c>
      <c r="W49" s="277" t="s">
        <v>221</v>
      </c>
      <c r="X49" s="267">
        <v>0</v>
      </c>
      <c r="Y49" s="267">
        <v>0</v>
      </c>
      <c r="Z49" s="267">
        <v>0</v>
      </c>
      <c r="AA49" s="267" t="s">
        <v>191</v>
      </c>
      <c r="AB49" s="266" t="s">
        <v>74</v>
      </c>
      <c r="AD49" s="279" t="s">
        <v>221</v>
      </c>
      <c r="AE49" s="278">
        <v>0</v>
      </c>
      <c r="AF49" s="278">
        <v>0</v>
      </c>
      <c r="AG49" s="278">
        <v>0</v>
      </c>
      <c r="AH49" s="278" t="s">
        <v>191</v>
      </c>
      <c r="AI49" s="280" t="s">
        <v>74</v>
      </c>
    </row>
    <row r="50" spans="2:36" x14ac:dyDescent="0.3">
      <c r="I50" s="271" t="s">
        <v>90</v>
      </c>
      <c r="J50" s="271">
        <v>34.4</v>
      </c>
      <c r="K50" s="271">
        <v>69.8</v>
      </c>
      <c r="L50" s="271">
        <v>0.02</v>
      </c>
      <c r="M50" s="271">
        <v>0.1</v>
      </c>
      <c r="N50" s="273" t="s">
        <v>74</v>
      </c>
      <c r="W50" s="277" t="s">
        <v>77</v>
      </c>
      <c r="X50" s="267">
        <v>0</v>
      </c>
      <c r="Y50" s="267">
        <v>0</v>
      </c>
      <c r="Z50" s="267">
        <v>0</v>
      </c>
      <c r="AA50" s="267" t="s">
        <v>230</v>
      </c>
      <c r="AB50" s="266" t="s">
        <v>74</v>
      </c>
      <c r="AD50" s="279" t="s">
        <v>77</v>
      </c>
      <c r="AE50" s="278">
        <v>0</v>
      </c>
      <c r="AF50" s="278">
        <v>0</v>
      </c>
      <c r="AG50" s="278">
        <v>0</v>
      </c>
      <c r="AH50" s="278" t="s">
        <v>230</v>
      </c>
      <c r="AI50" s="280" t="s">
        <v>74</v>
      </c>
    </row>
    <row r="51" spans="2:36" x14ac:dyDescent="0.3">
      <c r="I51" s="271" t="s">
        <v>232</v>
      </c>
      <c r="J51" s="271">
        <v>12.2</v>
      </c>
      <c r="K51" s="271">
        <v>0</v>
      </c>
      <c r="L51" s="271">
        <v>0.8</v>
      </c>
      <c r="M51" s="271">
        <v>1</v>
      </c>
      <c r="N51" s="272" t="s">
        <v>83</v>
      </c>
      <c r="W51" s="277" t="s">
        <v>80</v>
      </c>
      <c r="X51" s="267">
        <v>0</v>
      </c>
      <c r="Y51" s="267">
        <v>0</v>
      </c>
      <c r="Z51" s="267">
        <v>0</v>
      </c>
      <c r="AA51" s="267" t="s">
        <v>231</v>
      </c>
      <c r="AB51" s="266" t="s">
        <v>74</v>
      </c>
      <c r="AD51" s="279" t="s">
        <v>80</v>
      </c>
      <c r="AE51" s="278">
        <v>0</v>
      </c>
      <c r="AF51" s="278">
        <v>0</v>
      </c>
      <c r="AG51" s="278">
        <v>0</v>
      </c>
      <c r="AH51" s="278" t="s">
        <v>231</v>
      </c>
      <c r="AI51" s="280" t="s">
        <v>74</v>
      </c>
    </row>
    <row r="52" spans="2:36" x14ac:dyDescent="0.3">
      <c r="I52" s="271" t="s">
        <v>233</v>
      </c>
      <c r="J52" s="271">
        <v>22.1</v>
      </c>
      <c r="K52" s="271">
        <v>95</v>
      </c>
      <c r="L52" s="271">
        <v>0.08</v>
      </c>
      <c r="M52" s="271">
        <v>0.2</v>
      </c>
      <c r="N52" s="272" t="s">
        <v>83</v>
      </c>
      <c r="W52" s="286" t="s">
        <v>220</v>
      </c>
      <c r="X52" s="267">
        <v>0</v>
      </c>
      <c r="Y52" s="267">
        <v>0</v>
      </c>
      <c r="Z52" s="267">
        <v>0</v>
      </c>
      <c r="AA52" s="267" t="s">
        <v>115</v>
      </c>
      <c r="AB52" s="266" t="s">
        <v>93</v>
      </c>
      <c r="AD52" s="287" t="s">
        <v>220</v>
      </c>
      <c r="AE52" s="278">
        <v>0</v>
      </c>
      <c r="AF52" s="278">
        <v>0</v>
      </c>
      <c r="AG52" s="278">
        <v>0</v>
      </c>
      <c r="AH52" s="278" t="s">
        <v>115</v>
      </c>
      <c r="AI52" s="280" t="s">
        <v>93</v>
      </c>
    </row>
    <row r="53" spans="2:36" x14ac:dyDescent="0.3">
      <c r="I53" s="271" t="s">
        <v>321</v>
      </c>
      <c r="J53" s="271">
        <v>32</v>
      </c>
      <c r="K53" s="271">
        <v>62.8</v>
      </c>
      <c r="L53" s="271">
        <v>0.03</v>
      </c>
      <c r="M53" s="271">
        <v>0.2</v>
      </c>
      <c r="N53" s="272" t="s">
        <v>83</v>
      </c>
      <c r="W53" s="277" t="s">
        <v>234</v>
      </c>
      <c r="X53" s="267">
        <v>0</v>
      </c>
      <c r="Y53" s="267">
        <v>0</v>
      </c>
      <c r="Z53" s="267">
        <v>0</v>
      </c>
      <c r="AA53" s="267" t="s">
        <v>235</v>
      </c>
      <c r="AB53" s="266" t="s">
        <v>83</v>
      </c>
      <c r="AD53" s="279" t="s">
        <v>234</v>
      </c>
      <c r="AE53" s="278">
        <v>0</v>
      </c>
      <c r="AF53" s="278">
        <v>0</v>
      </c>
      <c r="AG53" s="278">
        <v>0</v>
      </c>
      <c r="AH53" s="278" t="s">
        <v>235</v>
      </c>
      <c r="AI53" s="280" t="s">
        <v>83</v>
      </c>
    </row>
    <row r="54" spans="2:36" x14ac:dyDescent="0.3">
      <c r="I54" s="271" t="s">
        <v>236</v>
      </c>
      <c r="J54" s="271">
        <v>38.799999999999997</v>
      </c>
      <c r="K54" s="271">
        <v>3.5</v>
      </c>
      <c r="L54" s="271">
        <v>0</v>
      </c>
      <c r="M54" s="271">
        <v>0</v>
      </c>
      <c r="N54" s="272" t="s">
        <v>74</v>
      </c>
      <c r="W54" s="271" t="s">
        <v>321</v>
      </c>
      <c r="X54" s="267" t="s">
        <v>317</v>
      </c>
      <c r="Y54" s="267" t="s">
        <v>317</v>
      </c>
      <c r="Z54" s="267" t="s">
        <v>317</v>
      </c>
      <c r="AA54" s="267" t="s">
        <v>322</v>
      </c>
      <c r="AB54" s="266" t="s">
        <v>83</v>
      </c>
      <c r="AD54" s="271" t="s">
        <v>321</v>
      </c>
      <c r="AE54" s="267" t="s">
        <v>317</v>
      </c>
      <c r="AF54" s="267" t="s">
        <v>317</v>
      </c>
      <c r="AG54" s="267" t="s">
        <v>317</v>
      </c>
      <c r="AH54" s="267" t="s">
        <v>322</v>
      </c>
      <c r="AI54" s="266" t="s">
        <v>83</v>
      </c>
    </row>
    <row r="55" spans="2:36" x14ac:dyDescent="0.3">
      <c r="I55" s="271" t="s">
        <v>75</v>
      </c>
      <c r="J55" s="271">
        <v>38.799999999999997</v>
      </c>
      <c r="K55" s="271">
        <v>13.9</v>
      </c>
      <c r="L55" s="271">
        <v>0</v>
      </c>
      <c r="M55" s="271">
        <v>0</v>
      </c>
      <c r="N55" s="272" t="s">
        <v>74</v>
      </c>
      <c r="W55" s="271" t="s">
        <v>323</v>
      </c>
      <c r="X55" s="267">
        <v>0</v>
      </c>
      <c r="Y55" s="267">
        <v>0</v>
      </c>
      <c r="Z55" s="267">
        <v>0</v>
      </c>
      <c r="AA55" s="267" t="s">
        <v>237</v>
      </c>
      <c r="AB55" s="266" t="s">
        <v>83</v>
      </c>
      <c r="AD55" s="271" t="s">
        <v>323</v>
      </c>
      <c r="AE55" s="278">
        <v>0</v>
      </c>
      <c r="AF55" s="278">
        <v>0</v>
      </c>
      <c r="AG55" s="278">
        <v>0</v>
      </c>
      <c r="AH55" s="278" t="s">
        <v>237</v>
      </c>
      <c r="AI55" s="280" t="s">
        <v>83</v>
      </c>
    </row>
    <row r="56" spans="2:36" x14ac:dyDescent="0.3">
      <c r="H56" s="9"/>
      <c r="I56" s="271" t="s">
        <v>81</v>
      </c>
      <c r="J56" s="271">
        <v>34.200000000000003</v>
      </c>
      <c r="K56" s="271">
        <v>92.6</v>
      </c>
      <c r="L56" s="271">
        <v>0.08</v>
      </c>
      <c r="M56" s="271">
        <v>0.2</v>
      </c>
      <c r="N56" s="273" t="s">
        <v>83</v>
      </c>
      <c r="O56" s="9"/>
      <c r="P56" s="9"/>
      <c r="Q56" s="9"/>
      <c r="R56" s="9"/>
      <c r="S56" s="9"/>
      <c r="T56" s="9"/>
      <c r="U56" s="9"/>
      <c r="V56" s="9"/>
      <c r="W56" s="277" t="s">
        <v>236</v>
      </c>
      <c r="X56" s="267">
        <v>0</v>
      </c>
      <c r="Y56" s="267">
        <v>0</v>
      </c>
      <c r="Z56" s="267">
        <v>0</v>
      </c>
      <c r="AA56" s="267" t="s">
        <v>76</v>
      </c>
      <c r="AB56" s="266" t="s">
        <v>74</v>
      </c>
      <c r="AC56" s="9"/>
      <c r="AD56" s="279" t="s">
        <v>236</v>
      </c>
      <c r="AE56" s="278">
        <v>0</v>
      </c>
      <c r="AF56" s="278">
        <v>0</v>
      </c>
      <c r="AG56" s="278">
        <v>0</v>
      </c>
      <c r="AH56" s="278" t="s">
        <v>76</v>
      </c>
      <c r="AI56" s="280" t="s">
        <v>74</v>
      </c>
      <c r="AJ56" s="9"/>
    </row>
    <row r="57" spans="2:36" x14ac:dyDescent="0.3">
      <c r="H57" s="9"/>
      <c r="I57" s="271" t="s">
        <v>323</v>
      </c>
      <c r="J57" s="271">
        <v>46.5</v>
      </c>
      <c r="K57" s="271">
        <v>61</v>
      </c>
      <c r="L57" s="271">
        <v>0.08</v>
      </c>
      <c r="M57" s="271">
        <v>0.2</v>
      </c>
      <c r="N57" s="272" t="s">
        <v>83</v>
      </c>
      <c r="O57" s="9"/>
      <c r="P57" s="9"/>
      <c r="Q57" s="9"/>
      <c r="R57" s="9"/>
      <c r="S57" s="9"/>
      <c r="T57" s="9"/>
      <c r="U57" s="9"/>
      <c r="V57" s="9"/>
      <c r="W57" s="277" t="s">
        <v>75</v>
      </c>
      <c r="X57" s="267">
        <v>0</v>
      </c>
      <c r="Y57" s="267">
        <v>0</v>
      </c>
      <c r="Z57" s="267">
        <v>0</v>
      </c>
      <c r="AA57" s="267" t="s">
        <v>76</v>
      </c>
      <c r="AB57" s="266" t="s">
        <v>74</v>
      </c>
      <c r="AC57" s="9"/>
      <c r="AD57" s="279" t="s">
        <v>75</v>
      </c>
      <c r="AE57" s="278">
        <v>0</v>
      </c>
      <c r="AF57" s="278">
        <v>0</v>
      </c>
      <c r="AG57" s="278">
        <v>0</v>
      </c>
      <c r="AH57" s="278" t="s">
        <v>76</v>
      </c>
      <c r="AI57" s="280" t="s">
        <v>74</v>
      </c>
      <c r="AJ57" s="9"/>
    </row>
    <row r="58" spans="2:36" ht="28.8" x14ac:dyDescent="0.3">
      <c r="B58" s="9"/>
      <c r="C58" s="9"/>
      <c r="D58" s="9"/>
      <c r="E58" s="9"/>
      <c r="F58" s="9"/>
      <c r="G58" s="9"/>
      <c r="H58" s="9"/>
      <c r="I58" s="271" t="s">
        <v>88</v>
      </c>
      <c r="J58" s="271">
        <v>34.200000000000003</v>
      </c>
      <c r="K58" s="271">
        <v>92.6</v>
      </c>
      <c r="L58" s="271">
        <v>0.08</v>
      </c>
      <c r="M58" s="271">
        <v>0.2</v>
      </c>
      <c r="N58" s="273" t="s">
        <v>83</v>
      </c>
      <c r="O58" s="9"/>
      <c r="P58" s="9"/>
      <c r="Q58" s="9"/>
      <c r="R58" s="9"/>
      <c r="S58" s="9"/>
      <c r="T58" s="9"/>
      <c r="U58" s="9"/>
      <c r="V58" s="9"/>
      <c r="W58" s="289" t="s">
        <v>78</v>
      </c>
      <c r="X58" s="267">
        <v>0</v>
      </c>
      <c r="Y58" s="267">
        <v>0</v>
      </c>
      <c r="Z58" s="267">
        <v>0</v>
      </c>
      <c r="AA58" s="267" t="s">
        <v>79</v>
      </c>
      <c r="AB58" s="266" t="s">
        <v>74</v>
      </c>
      <c r="AC58" s="9"/>
      <c r="AD58" s="290" t="s">
        <v>90</v>
      </c>
      <c r="AE58" s="278">
        <v>0</v>
      </c>
      <c r="AF58" s="278">
        <v>0</v>
      </c>
      <c r="AG58" s="278">
        <v>0</v>
      </c>
      <c r="AH58" s="278" t="s">
        <v>79</v>
      </c>
      <c r="AI58" s="280" t="s">
        <v>74</v>
      </c>
      <c r="AJ58" s="9"/>
    </row>
    <row r="59" spans="2:36" x14ac:dyDescent="0.3">
      <c r="B59" s="9"/>
      <c r="C59" s="9"/>
      <c r="D59" s="9"/>
      <c r="E59" s="9"/>
      <c r="F59" s="9"/>
      <c r="G59" s="9"/>
      <c r="H59" s="9"/>
      <c r="I59" s="271" t="s">
        <v>87</v>
      </c>
      <c r="J59" s="271">
        <v>42.9</v>
      </c>
      <c r="K59" s="271">
        <v>54.7</v>
      </c>
      <c r="L59" s="271">
        <v>0.03</v>
      </c>
      <c r="M59" s="271">
        <v>0.03</v>
      </c>
      <c r="N59" s="273" t="s">
        <v>83</v>
      </c>
      <c r="O59" s="9"/>
      <c r="P59" s="9"/>
      <c r="Q59" s="9"/>
      <c r="R59" s="9"/>
      <c r="S59" s="9"/>
      <c r="T59" s="9"/>
      <c r="U59" s="9"/>
      <c r="V59" s="9"/>
      <c r="W59" s="277" t="s">
        <v>81</v>
      </c>
      <c r="X59" s="267">
        <v>0</v>
      </c>
      <c r="Y59" s="267">
        <v>0</v>
      </c>
      <c r="Z59" s="267">
        <v>0</v>
      </c>
      <c r="AA59" s="267" t="s">
        <v>82</v>
      </c>
      <c r="AB59" s="266" t="s">
        <v>83</v>
      </c>
      <c r="AC59" s="9"/>
      <c r="AD59" s="279" t="s">
        <v>81</v>
      </c>
      <c r="AE59" s="278">
        <v>0</v>
      </c>
      <c r="AF59" s="278">
        <v>0</v>
      </c>
      <c r="AG59" s="278">
        <v>0</v>
      </c>
      <c r="AH59" s="278" t="s">
        <v>82</v>
      </c>
      <c r="AI59" s="280" t="s">
        <v>83</v>
      </c>
      <c r="AJ59" s="9"/>
    </row>
    <row r="60" spans="2:36" x14ac:dyDescent="0.3">
      <c r="B60" s="9"/>
      <c r="C60" s="9"/>
      <c r="D60" s="9"/>
      <c r="E60" s="9"/>
      <c r="F60" s="9"/>
      <c r="G60" s="9"/>
      <c r="H60" s="9"/>
      <c r="I60" s="271" t="s">
        <v>333</v>
      </c>
      <c r="J60" s="271">
        <v>36.799999999999997</v>
      </c>
      <c r="K60" s="271">
        <v>0</v>
      </c>
      <c r="L60" s="271">
        <v>0.02</v>
      </c>
      <c r="M60" s="271">
        <v>0.2</v>
      </c>
      <c r="N60" s="272" t="s">
        <v>74</v>
      </c>
      <c r="O60" s="9"/>
      <c r="P60" s="9"/>
      <c r="Q60" s="9"/>
      <c r="R60" s="9"/>
      <c r="S60" s="9"/>
      <c r="T60" s="9"/>
      <c r="U60" s="9"/>
      <c r="V60" s="9"/>
      <c r="W60" s="281" t="s">
        <v>232</v>
      </c>
      <c r="X60" s="282">
        <v>0</v>
      </c>
      <c r="Y60" s="282">
        <v>0</v>
      </c>
      <c r="Z60" s="282">
        <v>0</v>
      </c>
      <c r="AA60" s="282" t="s">
        <v>85</v>
      </c>
      <c r="AB60" s="283" t="s">
        <v>83</v>
      </c>
      <c r="AC60" s="9"/>
      <c r="AD60" s="284" t="s">
        <v>232</v>
      </c>
      <c r="AE60" s="285">
        <v>0</v>
      </c>
      <c r="AF60" s="285">
        <v>0</v>
      </c>
      <c r="AG60" s="285">
        <v>0</v>
      </c>
      <c r="AH60" s="285" t="s">
        <v>85</v>
      </c>
      <c r="AI60" s="271" t="s">
        <v>83</v>
      </c>
      <c r="AJ60" s="9"/>
    </row>
    <row r="61" spans="2:36" x14ac:dyDescent="0.3">
      <c r="B61" s="9"/>
      <c r="C61" s="9"/>
      <c r="D61" s="9"/>
      <c r="E61" s="9"/>
      <c r="F61" s="9"/>
      <c r="G61" s="9"/>
      <c r="H61" s="9"/>
      <c r="I61" s="271" t="s">
        <v>334</v>
      </c>
      <c r="J61" s="271">
        <v>38.6</v>
      </c>
      <c r="K61" s="271">
        <v>0</v>
      </c>
      <c r="L61" s="271">
        <v>0.1</v>
      </c>
      <c r="M61" s="271">
        <v>0.2</v>
      </c>
      <c r="N61" s="272" t="s">
        <v>74</v>
      </c>
      <c r="O61" s="9"/>
      <c r="P61" s="9"/>
      <c r="Q61" s="9"/>
      <c r="R61" s="9"/>
      <c r="S61" s="9"/>
      <c r="T61" s="9"/>
      <c r="U61" s="9"/>
      <c r="V61" s="9"/>
      <c r="W61" s="281" t="s">
        <v>88</v>
      </c>
      <c r="X61" s="282">
        <v>0</v>
      </c>
      <c r="Y61" s="282">
        <v>0</v>
      </c>
      <c r="Z61" s="282">
        <v>0</v>
      </c>
      <c r="AA61" s="282" t="s">
        <v>82</v>
      </c>
      <c r="AB61" s="283" t="s">
        <v>83</v>
      </c>
      <c r="AC61" s="9"/>
      <c r="AD61" s="284" t="s">
        <v>88</v>
      </c>
      <c r="AE61" s="285">
        <v>0</v>
      </c>
      <c r="AF61" s="285">
        <v>0</v>
      </c>
      <c r="AG61" s="285">
        <v>0</v>
      </c>
      <c r="AH61" s="285" t="s">
        <v>82</v>
      </c>
      <c r="AI61" s="271" t="s">
        <v>83</v>
      </c>
      <c r="AJ61" s="9"/>
    </row>
    <row r="62" spans="2:36" x14ac:dyDescent="0.3">
      <c r="B62" s="9"/>
      <c r="C62" s="9"/>
      <c r="D62" s="9"/>
      <c r="E62" s="9"/>
      <c r="F62" s="9"/>
      <c r="G62" s="9"/>
      <c r="H62" s="9"/>
      <c r="I62" s="271" t="s">
        <v>91</v>
      </c>
      <c r="J62" s="271">
        <v>3.7699999999999997E-2</v>
      </c>
      <c r="K62" s="271">
        <v>0</v>
      </c>
      <c r="L62" s="271">
        <v>6.4</v>
      </c>
      <c r="M62" s="271">
        <v>0.03</v>
      </c>
      <c r="N62" s="272" t="s">
        <v>93</v>
      </c>
      <c r="O62" s="9"/>
      <c r="P62" s="9"/>
      <c r="Q62" s="9"/>
      <c r="R62" s="9"/>
      <c r="S62" s="9"/>
      <c r="T62" s="9"/>
      <c r="U62" s="9"/>
      <c r="V62" s="9"/>
      <c r="W62" s="281" t="s">
        <v>87</v>
      </c>
      <c r="X62" s="282">
        <v>0</v>
      </c>
      <c r="Y62" s="282">
        <v>0</v>
      </c>
      <c r="Z62" s="282">
        <v>0</v>
      </c>
      <c r="AA62" s="282" t="s">
        <v>89</v>
      </c>
      <c r="AB62" s="283" t="s">
        <v>83</v>
      </c>
      <c r="AC62" s="9"/>
      <c r="AD62" s="284" t="s">
        <v>87</v>
      </c>
      <c r="AE62" s="285">
        <v>0</v>
      </c>
      <c r="AF62" s="285">
        <v>0</v>
      </c>
      <c r="AG62" s="285">
        <v>0</v>
      </c>
      <c r="AH62" s="285" t="s">
        <v>89</v>
      </c>
      <c r="AI62" s="271" t="s">
        <v>83</v>
      </c>
      <c r="AJ62" s="9"/>
    </row>
    <row r="63" spans="2:36" x14ac:dyDescent="0.3">
      <c r="B63" s="9"/>
      <c r="C63" s="9"/>
      <c r="D63" s="9"/>
      <c r="E63" s="9"/>
      <c r="F63" s="9"/>
      <c r="G63" s="9"/>
      <c r="H63" s="9"/>
      <c r="I63" s="271" t="s">
        <v>73</v>
      </c>
      <c r="J63" s="271">
        <v>34.4</v>
      </c>
      <c r="K63" s="271">
        <v>69.7</v>
      </c>
      <c r="L63" s="271">
        <v>0.03</v>
      </c>
      <c r="M63" s="271">
        <v>0.2</v>
      </c>
      <c r="N63" s="272" t="s">
        <v>74</v>
      </c>
      <c r="O63" s="9"/>
      <c r="P63" s="9"/>
      <c r="Q63" s="9"/>
      <c r="R63" s="9"/>
      <c r="S63" s="9"/>
      <c r="T63" s="9"/>
      <c r="U63" s="9"/>
      <c r="V63" s="9"/>
      <c r="W63" s="277" t="s">
        <v>333</v>
      </c>
      <c r="X63" s="267" t="s">
        <v>317</v>
      </c>
      <c r="Y63" s="267" t="s">
        <v>317</v>
      </c>
      <c r="Z63" s="267" t="s">
        <v>317</v>
      </c>
      <c r="AA63" s="267" t="s">
        <v>186</v>
      </c>
      <c r="AB63" s="266" t="s">
        <v>74</v>
      </c>
      <c r="AC63" s="9"/>
      <c r="AD63" s="277" t="s">
        <v>333</v>
      </c>
      <c r="AE63" s="267" t="s">
        <v>317</v>
      </c>
      <c r="AF63" s="267" t="s">
        <v>317</v>
      </c>
      <c r="AG63" s="267" t="s">
        <v>317</v>
      </c>
      <c r="AH63" s="267" t="s">
        <v>186</v>
      </c>
      <c r="AI63" s="266" t="s">
        <v>74</v>
      </c>
      <c r="AJ63" s="9"/>
    </row>
    <row r="64" spans="2:36" x14ac:dyDescent="0.3">
      <c r="B64" s="9"/>
      <c r="C64" s="9"/>
      <c r="D64" s="9"/>
      <c r="E64" s="9"/>
      <c r="F64" s="9"/>
      <c r="G64" s="9"/>
      <c r="I64" s="271" t="s">
        <v>240</v>
      </c>
      <c r="J64" s="271">
        <v>21</v>
      </c>
      <c r="K64" s="271">
        <v>90</v>
      </c>
      <c r="L64" s="271">
        <v>0.04</v>
      </c>
      <c r="M64" s="271">
        <v>0.2</v>
      </c>
      <c r="N64" s="272" t="s">
        <v>83</v>
      </c>
      <c r="W64" s="277" t="s">
        <v>334</v>
      </c>
      <c r="X64" s="267" t="s">
        <v>317</v>
      </c>
      <c r="Y64" s="267" t="s">
        <v>317</v>
      </c>
      <c r="Z64" s="267" t="s">
        <v>317</v>
      </c>
      <c r="AA64" s="267" t="s">
        <v>146</v>
      </c>
      <c r="AB64" s="266" t="s">
        <v>74</v>
      </c>
      <c r="AD64" s="277" t="s">
        <v>334</v>
      </c>
      <c r="AE64" s="267" t="s">
        <v>317</v>
      </c>
      <c r="AF64" s="267" t="s">
        <v>317</v>
      </c>
      <c r="AG64" s="267" t="s">
        <v>317</v>
      </c>
      <c r="AH64" s="267" t="s">
        <v>146</v>
      </c>
      <c r="AI64" s="266" t="s">
        <v>74</v>
      </c>
    </row>
    <row r="65" spans="2:35" x14ac:dyDescent="0.3">
      <c r="B65" s="9"/>
      <c r="C65" s="9"/>
      <c r="D65" s="9"/>
      <c r="E65" s="9"/>
      <c r="F65" s="9"/>
      <c r="G65" s="9"/>
      <c r="I65" s="271" t="s">
        <v>109</v>
      </c>
      <c r="J65" s="271">
        <v>12.4</v>
      </c>
      <c r="K65" s="271">
        <v>0</v>
      </c>
      <c r="L65" s="271">
        <v>0.08</v>
      </c>
      <c r="M65" s="271">
        <v>0.5</v>
      </c>
      <c r="N65" s="272" t="s">
        <v>83</v>
      </c>
      <c r="W65" s="281" t="s">
        <v>91</v>
      </c>
      <c r="X65" s="282">
        <v>0</v>
      </c>
      <c r="Y65" s="282">
        <v>0</v>
      </c>
      <c r="Z65" s="282">
        <v>0</v>
      </c>
      <c r="AA65" s="282" t="s">
        <v>92</v>
      </c>
      <c r="AB65" s="283" t="s">
        <v>93</v>
      </c>
      <c r="AD65" s="284" t="s">
        <v>91</v>
      </c>
      <c r="AE65" s="285">
        <v>0</v>
      </c>
      <c r="AF65" s="285">
        <v>0</v>
      </c>
      <c r="AG65" s="285">
        <v>0</v>
      </c>
      <c r="AH65" s="285" t="s">
        <v>92</v>
      </c>
      <c r="AI65" s="271" t="s">
        <v>93</v>
      </c>
    </row>
    <row r="66" spans="2:35" x14ac:dyDescent="0.3">
      <c r="I66" s="271" t="s">
        <v>111</v>
      </c>
      <c r="J66" s="271">
        <v>3.9E-2</v>
      </c>
      <c r="K66" s="271">
        <v>60.2</v>
      </c>
      <c r="L66" s="271">
        <v>0.04</v>
      </c>
      <c r="M66" s="271">
        <v>0.03</v>
      </c>
      <c r="N66" s="272" t="s">
        <v>93</v>
      </c>
      <c r="W66" s="281" t="s">
        <v>233</v>
      </c>
      <c r="X66" s="282">
        <v>0</v>
      </c>
      <c r="Y66" s="282">
        <v>0</v>
      </c>
      <c r="Z66" s="282">
        <v>0</v>
      </c>
      <c r="AA66" s="282" t="s">
        <v>96</v>
      </c>
      <c r="AB66" s="283" t="s">
        <v>83</v>
      </c>
      <c r="AD66" s="284" t="s">
        <v>97</v>
      </c>
      <c r="AE66" s="285">
        <v>0</v>
      </c>
      <c r="AF66" s="285">
        <v>0</v>
      </c>
      <c r="AG66" s="285">
        <v>0</v>
      </c>
      <c r="AH66" s="285" t="s">
        <v>96</v>
      </c>
      <c r="AI66" s="271" t="s">
        <v>83</v>
      </c>
    </row>
    <row r="67" spans="2:35" x14ac:dyDescent="0.3">
      <c r="I67" s="271" t="s">
        <v>324</v>
      </c>
      <c r="J67" s="271">
        <v>27.1</v>
      </c>
      <c r="K67" s="271">
        <v>55.9</v>
      </c>
      <c r="L67" s="271">
        <v>0.03</v>
      </c>
      <c r="M67" s="271">
        <v>0.2</v>
      </c>
      <c r="N67" s="272" t="s">
        <v>83</v>
      </c>
      <c r="W67" s="277" t="s">
        <v>73</v>
      </c>
      <c r="X67" s="267">
        <v>0</v>
      </c>
      <c r="Y67" s="267">
        <v>0</v>
      </c>
      <c r="Z67" s="267">
        <v>0</v>
      </c>
      <c r="AA67" s="267" t="s">
        <v>79</v>
      </c>
      <c r="AB67" s="266" t="s">
        <v>74</v>
      </c>
      <c r="AD67" s="271" t="s">
        <v>119</v>
      </c>
      <c r="AE67" s="278">
        <v>0</v>
      </c>
      <c r="AF67" s="278">
        <v>0</v>
      </c>
      <c r="AG67" s="278">
        <v>0</v>
      </c>
      <c r="AH67" s="271">
        <v>34.4</v>
      </c>
      <c r="AI67" s="272" t="s">
        <v>74</v>
      </c>
    </row>
    <row r="68" spans="2:35" x14ac:dyDescent="0.3">
      <c r="I68" s="271" t="s">
        <v>114</v>
      </c>
      <c r="J68" s="271">
        <v>3.9300000000000002E-2</v>
      </c>
      <c r="K68" s="271">
        <v>51.4</v>
      </c>
      <c r="L68" s="271">
        <v>0.1</v>
      </c>
      <c r="M68" s="271">
        <v>0.03</v>
      </c>
      <c r="N68" s="272" t="s">
        <v>93</v>
      </c>
      <c r="W68" s="277" t="s">
        <v>99</v>
      </c>
      <c r="X68" s="267">
        <v>0</v>
      </c>
      <c r="Y68" s="267">
        <v>0</v>
      </c>
      <c r="Z68" s="267">
        <v>0</v>
      </c>
      <c r="AA68" s="267" t="s">
        <v>79</v>
      </c>
      <c r="AB68" s="266" t="s">
        <v>74</v>
      </c>
      <c r="AD68" s="279" t="s">
        <v>73</v>
      </c>
      <c r="AE68" s="278">
        <v>0</v>
      </c>
      <c r="AF68" s="278">
        <v>0</v>
      </c>
      <c r="AG68" s="278">
        <v>0</v>
      </c>
      <c r="AH68" s="278" t="s">
        <v>79</v>
      </c>
      <c r="AI68" s="280" t="s">
        <v>74</v>
      </c>
    </row>
    <row r="69" spans="2:35" x14ac:dyDescent="0.3">
      <c r="W69" s="277" t="s">
        <v>104</v>
      </c>
      <c r="X69" s="267">
        <v>0</v>
      </c>
      <c r="Y69" s="267">
        <v>0</v>
      </c>
      <c r="Z69" s="267">
        <v>0</v>
      </c>
      <c r="AA69" s="267" t="s">
        <v>105</v>
      </c>
      <c r="AB69" s="266" t="s">
        <v>83</v>
      </c>
      <c r="AD69" s="279" t="s">
        <v>99</v>
      </c>
      <c r="AE69" s="278">
        <v>0</v>
      </c>
      <c r="AF69" s="278">
        <v>0</v>
      </c>
      <c r="AG69" s="278">
        <v>0</v>
      </c>
      <c r="AH69" s="278" t="s">
        <v>79</v>
      </c>
      <c r="AI69" s="280" t="s">
        <v>74</v>
      </c>
    </row>
    <row r="70" spans="2:35" x14ac:dyDescent="0.3">
      <c r="I70" s="2" t="s">
        <v>108</v>
      </c>
      <c r="W70" s="277" t="s">
        <v>109</v>
      </c>
      <c r="X70" s="267">
        <v>0</v>
      </c>
      <c r="Y70" s="267">
        <v>0</v>
      </c>
      <c r="Z70" s="267">
        <v>0</v>
      </c>
      <c r="AA70" s="267" t="s">
        <v>110</v>
      </c>
      <c r="AB70" s="266" t="s">
        <v>83</v>
      </c>
      <c r="AD70" s="279" t="s">
        <v>104</v>
      </c>
      <c r="AE70" s="278">
        <v>0</v>
      </c>
      <c r="AF70" s="278">
        <v>0</v>
      </c>
      <c r="AG70" s="278">
        <v>0</v>
      </c>
      <c r="AH70" s="278" t="s">
        <v>105</v>
      </c>
      <c r="AI70" s="280" t="s">
        <v>83</v>
      </c>
    </row>
    <row r="71" spans="2:35" x14ac:dyDescent="0.3">
      <c r="W71" s="277" t="s">
        <v>111</v>
      </c>
      <c r="X71" s="267">
        <v>0</v>
      </c>
      <c r="Y71" s="267">
        <v>0</v>
      </c>
      <c r="Z71" s="267">
        <v>0</v>
      </c>
      <c r="AA71" s="267" t="s">
        <v>112</v>
      </c>
      <c r="AB71" s="266" t="s">
        <v>93</v>
      </c>
      <c r="AD71" s="279" t="s">
        <v>109</v>
      </c>
      <c r="AE71" s="278">
        <v>0</v>
      </c>
      <c r="AF71" s="278">
        <v>0</v>
      </c>
      <c r="AG71" s="278">
        <v>0</v>
      </c>
      <c r="AH71" s="278" t="s">
        <v>110</v>
      </c>
      <c r="AI71" s="280" t="s">
        <v>83</v>
      </c>
    </row>
    <row r="72" spans="2:35" x14ac:dyDescent="0.3">
      <c r="W72" s="271" t="s">
        <v>324</v>
      </c>
      <c r="X72" s="267" t="s">
        <v>317</v>
      </c>
      <c r="Y72" s="267" t="s">
        <v>317</v>
      </c>
      <c r="Z72" s="267" t="s">
        <v>317</v>
      </c>
      <c r="AA72" s="267" t="s">
        <v>325</v>
      </c>
      <c r="AB72" s="266" t="s">
        <v>83</v>
      </c>
      <c r="AD72" s="279" t="s">
        <v>111</v>
      </c>
      <c r="AE72" s="278">
        <v>0</v>
      </c>
      <c r="AF72" s="278">
        <v>0</v>
      </c>
      <c r="AG72" s="278">
        <v>0</v>
      </c>
      <c r="AH72" s="278" t="s">
        <v>112</v>
      </c>
      <c r="AI72" s="280" t="s">
        <v>93</v>
      </c>
    </row>
    <row r="73" spans="2:35" x14ac:dyDescent="0.3">
      <c r="W73" s="277" t="s">
        <v>114</v>
      </c>
      <c r="X73" s="267">
        <v>0</v>
      </c>
      <c r="Y73" s="267">
        <v>0</v>
      </c>
      <c r="Z73" s="267">
        <v>0</v>
      </c>
      <c r="AA73" s="267" t="s">
        <v>115</v>
      </c>
      <c r="AB73" s="266" t="s">
        <v>93</v>
      </c>
      <c r="AD73" s="271" t="s">
        <v>324</v>
      </c>
      <c r="AE73" s="278" t="s">
        <v>317</v>
      </c>
      <c r="AF73" s="278" t="s">
        <v>317</v>
      </c>
      <c r="AG73" s="278" t="s">
        <v>317</v>
      </c>
      <c r="AH73" s="278" t="s">
        <v>325</v>
      </c>
      <c r="AI73" s="280" t="s">
        <v>83</v>
      </c>
    </row>
    <row r="74" spans="2:35" x14ac:dyDescent="0.3">
      <c r="W74" s="277" t="s">
        <v>116</v>
      </c>
      <c r="X74" s="267">
        <v>0</v>
      </c>
      <c r="Y74" s="267">
        <v>0</v>
      </c>
      <c r="Z74" s="267">
        <v>0</v>
      </c>
      <c r="AA74" s="267" t="s">
        <v>117</v>
      </c>
      <c r="AB74" s="266" t="s">
        <v>83</v>
      </c>
      <c r="AD74" s="279" t="s">
        <v>114</v>
      </c>
      <c r="AE74" s="278">
        <v>0</v>
      </c>
      <c r="AF74" s="278">
        <v>0</v>
      </c>
      <c r="AG74" s="278">
        <v>0</v>
      </c>
      <c r="AH74" s="278" t="s">
        <v>115</v>
      </c>
      <c r="AI74" s="280" t="s">
        <v>93</v>
      </c>
    </row>
    <row r="75" spans="2:35" x14ac:dyDescent="0.3">
      <c r="W75" s="94" t="s">
        <v>326</v>
      </c>
      <c r="X75" s="95" t="s">
        <v>317</v>
      </c>
      <c r="Y75" s="95" t="s">
        <v>317</v>
      </c>
      <c r="Z75" s="95" t="s">
        <v>317</v>
      </c>
      <c r="AA75" s="95" t="s">
        <v>317</v>
      </c>
      <c r="AB75" s="96" t="s">
        <v>22</v>
      </c>
      <c r="AD75" s="279" t="s">
        <v>116</v>
      </c>
      <c r="AE75" s="278">
        <v>0</v>
      </c>
      <c r="AF75" s="278">
        <v>0</v>
      </c>
      <c r="AG75" s="278">
        <v>0</v>
      </c>
      <c r="AH75" s="278" t="s">
        <v>117</v>
      </c>
      <c r="AI75" s="280" t="s">
        <v>83</v>
      </c>
    </row>
    <row r="76" spans="2:35" x14ac:dyDescent="0.3">
      <c r="W76" s="277" t="s">
        <v>327</v>
      </c>
      <c r="X76" s="267">
        <v>0</v>
      </c>
      <c r="Y76" s="267">
        <v>0</v>
      </c>
      <c r="Z76" s="267">
        <v>0</v>
      </c>
      <c r="AA76" s="267" t="s">
        <v>328</v>
      </c>
      <c r="AB76" s="266" t="s">
        <v>83</v>
      </c>
      <c r="AD76" s="271" t="s">
        <v>121</v>
      </c>
      <c r="AE76" s="278">
        <v>0</v>
      </c>
      <c r="AF76" s="278">
        <v>0</v>
      </c>
      <c r="AG76" s="278">
        <v>0</v>
      </c>
      <c r="AH76" s="271">
        <v>45.8</v>
      </c>
      <c r="AI76" s="272" t="s">
        <v>83</v>
      </c>
    </row>
    <row r="77" spans="2:35" x14ac:dyDescent="0.3">
      <c r="W77" s="277" t="s">
        <v>329</v>
      </c>
      <c r="X77" s="267">
        <v>0</v>
      </c>
      <c r="Y77" s="267">
        <v>0</v>
      </c>
      <c r="Z77" s="267">
        <v>0</v>
      </c>
      <c r="AA77" s="267" t="s">
        <v>330</v>
      </c>
      <c r="AB77" s="266" t="s">
        <v>83</v>
      </c>
      <c r="AD77" s="271" t="s">
        <v>122</v>
      </c>
      <c r="AE77" s="278">
        <v>0</v>
      </c>
      <c r="AF77" s="278">
        <v>0</v>
      </c>
      <c r="AG77" s="278">
        <v>0</v>
      </c>
      <c r="AH77" s="271">
        <v>37.1</v>
      </c>
      <c r="AI77" s="272" t="s">
        <v>83</v>
      </c>
    </row>
    <row r="78" spans="2:35" x14ac:dyDescent="0.3">
      <c r="W78" s="277" t="s">
        <v>331</v>
      </c>
      <c r="X78" s="267">
        <v>0</v>
      </c>
      <c r="Y78" s="267">
        <v>0</v>
      </c>
      <c r="Z78" s="267">
        <v>0</v>
      </c>
      <c r="AA78" s="267" t="s">
        <v>332</v>
      </c>
      <c r="AB78" s="266" t="s">
        <v>83</v>
      </c>
      <c r="AD78" s="271" t="s">
        <v>123</v>
      </c>
      <c r="AE78" s="278">
        <v>0</v>
      </c>
      <c r="AF78" s="278">
        <v>0</v>
      </c>
      <c r="AG78" s="278">
        <v>0</v>
      </c>
      <c r="AH78" s="271">
        <v>50.3</v>
      </c>
      <c r="AI78" s="272" t="s">
        <v>83</v>
      </c>
    </row>
    <row r="79" spans="2:35" x14ac:dyDescent="0.3">
      <c r="AD79" s="271" t="s">
        <v>124</v>
      </c>
      <c r="AE79" s="278">
        <v>0</v>
      </c>
      <c r="AF79" s="278">
        <v>0</v>
      </c>
      <c r="AG79" s="278">
        <v>0</v>
      </c>
      <c r="AH79" s="272">
        <v>0</v>
      </c>
      <c r="AI79" s="272" t="s">
        <v>83</v>
      </c>
    </row>
    <row r="80" spans="2:35" x14ac:dyDescent="0.3">
      <c r="AD80" s="272" t="s">
        <v>125</v>
      </c>
      <c r="AE80" s="272">
        <v>0</v>
      </c>
      <c r="AF80" s="272">
        <v>0</v>
      </c>
      <c r="AG80" s="272">
        <v>0</v>
      </c>
      <c r="AH80" s="272">
        <v>3.5999999999999999E-3</v>
      </c>
      <c r="AI80" s="272" t="s">
        <v>31</v>
      </c>
    </row>
    <row r="81" spans="30:35" x14ac:dyDescent="0.3">
      <c r="AD81" s="272" t="s">
        <v>126</v>
      </c>
      <c r="AE81" s="272">
        <v>0</v>
      </c>
      <c r="AF81" s="272">
        <v>0</v>
      </c>
      <c r="AG81" s="272">
        <v>0</v>
      </c>
      <c r="AH81" s="272">
        <v>1</v>
      </c>
      <c r="AI81" s="272" t="s">
        <v>48</v>
      </c>
    </row>
    <row r="82" spans="30:35" x14ac:dyDescent="0.3">
      <c r="AD82" s="272" t="s">
        <v>127</v>
      </c>
      <c r="AE82" s="272">
        <v>0</v>
      </c>
      <c r="AF82" s="272">
        <v>0</v>
      </c>
      <c r="AG82" s="272">
        <v>0</v>
      </c>
      <c r="AH82" s="272">
        <v>1</v>
      </c>
      <c r="AI82" s="272" t="s">
        <v>48</v>
      </c>
    </row>
    <row r="83" spans="30:35" x14ac:dyDescent="0.3">
      <c r="AD83" s="272" t="s">
        <v>128</v>
      </c>
      <c r="AE83" s="272">
        <v>0</v>
      </c>
      <c r="AF83" s="272">
        <v>0</v>
      </c>
      <c r="AG83" s="272">
        <v>0</v>
      </c>
      <c r="AH83" s="272">
        <v>1</v>
      </c>
      <c r="AI83" s="272" t="s">
        <v>48</v>
      </c>
    </row>
    <row r="84" spans="30:35" x14ac:dyDescent="0.3">
      <c r="AD84" s="272" t="s">
        <v>129</v>
      </c>
      <c r="AE84" s="272">
        <v>0</v>
      </c>
      <c r="AF84" s="272">
        <v>0</v>
      </c>
      <c r="AG84" s="272">
        <v>0</v>
      </c>
      <c r="AH84" s="272">
        <v>1</v>
      </c>
      <c r="AI84" s="272" t="s">
        <v>48</v>
      </c>
    </row>
    <row r="87" spans="30:35" x14ac:dyDescent="0.3">
      <c r="AD87" s="288"/>
      <c r="AE87" s="288"/>
      <c r="AF87" s="288"/>
      <c r="AG87" s="288"/>
      <c r="AH87" s="288"/>
      <c r="AI87" s="288"/>
    </row>
  </sheetData>
  <sheetProtection selectLockedCells="1" selectUnlockedCells="1"/>
  <sortState xmlns:xlrd2="http://schemas.microsoft.com/office/spreadsheetml/2017/richdata2" ref="I9:N68">
    <sortCondition ref="I68"/>
  </sortState>
  <phoneticPr fontId="4"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zoomScaleNormal="100" workbookViewId="0"/>
  </sheetViews>
  <sheetFormatPr defaultColWidth="0" defaultRowHeight="15" customHeight="1" zeroHeight="1" x14ac:dyDescent="0.3"/>
  <cols>
    <col min="1" max="1" width="9.21875" style="2" customWidth="1"/>
    <col min="2" max="2" width="136.5546875" style="2" customWidth="1"/>
    <col min="3" max="3" width="9.21875" style="2" customWidth="1"/>
    <col min="4" max="16384" width="9.21875" style="78" hidden="1"/>
  </cols>
  <sheetData>
    <row r="1" spans="2:2" s="2" customFormat="1" ht="123.75" customHeight="1" x14ac:dyDescent="0.3"/>
    <row r="2" spans="2:2" s="2" customFormat="1" ht="21.3" customHeight="1" x14ac:dyDescent="0.3">
      <c r="B2" s="255" t="s">
        <v>348</v>
      </c>
    </row>
    <row r="3" spans="2:2" s="2" customFormat="1" ht="9" customHeight="1" x14ac:dyDescent="0.3"/>
    <row r="4" spans="2:2" s="2" customFormat="1" ht="115.5" customHeight="1" x14ac:dyDescent="0.3">
      <c r="B4" s="115" t="s">
        <v>371</v>
      </c>
    </row>
    <row r="5" spans="2:2" s="2" customFormat="1" ht="68.25" customHeight="1" x14ac:dyDescent="0.3">
      <c r="B5" s="245" t="s">
        <v>373</v>
      </c>
    </row>
    <row r="6" spans="2:2" s="2" customFormat="1" ht="115.5" customHeight="1" x14ac:dyDescent="0.3">
      <c r="B6" s="115" t="s">
        <v>372</v>
      </c>
    </row>
    <row r="7" spans="2:2" s="2" customFormat="1" ht="9.75" hidden="1" customHeight="1" x14ac:dyDescent="0.3">
      <c r="B7" s="246"/>
    </row>
  </sheetData>
  <sheetProtection algorithmName="SHA-256" hashValue="KBSKCGOu4jlTpfkuPraD8Vljy+lyyGubZ5yd8qCNL1o=" saltValue="0NYViqPME43zBghODxmBTQ==" spinCount="100000" sheet="1" objects="1" scenarios="1" selectLockedCells="1" selectUn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98"/>
  <sheetViews>
    <sheetView showRowColHeaders="0" zoomScaleNormal="100" workbookViewId="0">
      <selection activeCell="E4" sqref="E4:H4"/>
    </sheetView>
  </sheetViews>
  <sheetFormatPr defaultColWidth="0" defaultRowHeight="14.4" zeroHeight="1" x14ac:dyDescent="0.3"/>
  <cols>
    <col min="1" max="2" width="4" style="2" customWidth="1"/>
    <col min="3" max="3" width="67.5546875" style="2" customWidth="1"/>
    <col min="4" max="4" width="3.44140625" style="2" customWidth="1"/>
    <col min="5" max="5" width="19.5546875" style="2" customWidth="1"/>
    <col min="6" max="6" width="3.5546875" style="2" customWidth="1"/>
    <col min="7" max="8" width="9.21875" style="2" customWidth="1"/>
    <col min="9" max="9" width="13.5546875" style="2" customWidth="1"/>
    <col min="10" max="10" width="12.21875" style="2" customWidth="1"/>
    <col min="11" max="11" width="11.77734375" style="2" customWidth="1"/>
    <col min="12" max="12" width="22.5546875" style="2" customWidth="1"/>
    <col min="13" max="13" width="23.77734375" style="2" customWidth="1"/>
    <col min="14" max="14" width="26.44140625" style="2" customWidth="1"/>
    <col min="15" max="15" width="4.5546875" style="2" hidden="1" customWidth="1"/>
    <col min="16" max="16" width="3" style="2" hidden="1" customWidth="1"/>
    <col min="17" max="20" width="0" style="2" hidden="1" customWidth="1"/>
    <col min="21" max="16384" width="3" style="2" hidden="1"/>
  </cols>
  <sheetData>
    <row r="1" spans="2:20" ht="203.25" customHeight="1" x14ac:dyDescent="0.3"/>
    <row r="2" spans="2:20" ht="33" customHeight="1" x14ac:dyDescent="0.3">
      <c r="B2" s="181"/>
      <c r="C2" s="311" t="s">
        <v>351</v>
      </c>
      <c r="D2" s="311"/>
      <c r="E2" s="311"/>
      <c r="F2" s="311"/>
      <c r="G2" s="311"/>
      <c r="H2" s="311"/>
      <c r="I2" s="311"/>
      <c r="J2" s="311"/>
      <c r="K2" s="311"/>
      <c r="L2" s="311"/>
      <c r="M2" s="311"/>
      <c r="N2" s="311"/>
    </row>
    <row r="3" spans="2:20" ht="15" customHeight="1" x14ac:dyDescent="0.3">
      <c r="B3" s="151"/>
      <c r="C3" s="151"/>
      <c r="D3" s="151"/>
      <c r="E3" s="151"/>
      <c r="F3" s="151"/>
      <c r="G3" s="151"/>
      <c r="H3" s="151"/>
      <c r="I3" s="151"/>
      <c r="J3" s="151"/>
      <c r="K3" s="151"/>
      <c r="L3" s="151"/>
      <c r="M3" s="151"/>
      <c r="N3" s="20" t="str">
        <f>IF(M4="Part year","Enter days below","")</f>
        <v/>
      </c>
      <c r="Q3" s="2" t="s">
        <v>1</v>
      </c>
    </row>
    <row r="4" spans="2:20" ht="15" customHeight="1" x14ac:dyDescent="0.3">
      <c r="B4" s="181"/>
      <c r="C4" s="201" t="s">
        <v>2</v>
      </c>
      <c r="D4" s="151"/>
      <c r="E4" s="318"/>
      <c r="F4" s="319"/>
      <c r="G4" s="319"/>
      <c r="H4" s="320"/>
      <c r="I4" s="151"/>
      <c r="J4" s="316" t="s">
        <v>3</v>
      </c>
      <c r="K4" s="321"/>
      <c r="L4" s="321"/>
      <c r="M4" s="66" t="s">
        <v>1</v>
      </c>
      <c r="N4" s="66">
        <f>IF(M4="Full year",365,"")</f>
        <v>365</v>
      </c>
      <c r="Q4" s="2" t="s">
        <v>4</v>
      </c>
    </row>
    <row r="5" spans="2:20" x14ac:dyDescent="0.3"/>
    <row r="6" spans="2:20" x14ac:dyDescent="0.3">
      <c r="B6" s="126"/>
      <c r="C6" s="313" t="s">
        <v>352</v>
      </c>
      <c r="D6" s="202"/>
      <c r="E6" s="315" t="s">
        <v>5</v>
      </c>
      <c r="F6" s="202"/>
      <c r="G6" s="315" t="s">
        <v>6</v>
      </c>
      <c r="H6" s="152"/>
      <c r="I6" s="317" t="s">
        <v>7</v>
      </c>
      <c r="J6" s="317"/>
      <c r="K6" s="317"/>
      <c r="L6" s="152"/>
      <c r="M6" s="202" t="s">
        <v>8</v>
      </c>
      <c r="N6" s="63" t="s">
        <v>9</v>
      </c>
      <c r="Q6" s="2" t="s">
        <v>10</v>
      </c>
    </row>
    <row r="7" spans="2:20" ht="14.25" customHeight="1" x14ac:dyDescent="0.3">
      <c r="B7" s="153"/>
      <c r="C7" s="314"/>
      <c r="D7" s="201"/>
      <c r="E7" s="316"/>
      <c r="F7" s="201"/>
      <c r="G7" s="316"/>
      <c r="H7" s="26"/>
      <c r="I7" s="1" t="s">
        <v>11</v>
      </c>
      <c r="J7" s="1" t="s">
        <v>12</v>
      </c>
      <c r="K7" s="1" t="s">
        <v>13</v>
      </c>
      <c r="L7" s="201"/>
      <c r="M7" s="1" t="s">
        <v>14</v>
      </c>
      <c r="N7" s="154" t="s">
        <v>15</v>
      </c>
    </row>
    <row r="8" spans="2:20" x14ac:dyDescent="0.3">
      <c r="B8" s="155"/>
      <c r="C8" s="138" t="s">
        <v>16</v>
      </c>
      <c r="D8" s="138"/>
      <c r="E8" s="138" t="s">
        <v>17</v>
      </c>
      <c r="F8" s="138"/>
      <c r="G8" s="138"/>
      <c r="H8" s="137"/>
      <c r="I8" s="137"/>
      <c r="J8" s="137"/>
      <c r="K8" s="137"/>
      <c r="L8" s="137"/>
      <c r="M8" s="137"/>
      <c r="N8" s="157"/>
      <c r="Q8" s="8" t="s">
        <v>18</v>
      </c>
      <c r="R8" s="8" t="s">
        <v>19</v>
      </c>
      <c r="S8" s="8" t="s">
        <v>20</v>
      </c>
      <c r="T8" s="8" t="s">
        <v>21</v>
      </c>
    </row>
    <row r="9" spans="2:20" ht="15" customHeight="1" x14ac:dyDescent="0.3">
      <c r="B9" s="155"/>
      <c r="C9" s="136" t="s">
        <v>22</v>
      </c>
      <c r="D9" s="137"/>
      <c r="E9" s="295"/>
      <c r="F9" s="138"/>
      <c r="G9" s="20" t="str">
        <f>VLOOKUP($C9,'Calculation engine'!$B$8:$G$35,6,FALSE)</f>
        <v>-</v>
      </c>
      <c r="H9" s="139"/>
      <c r="I9" s="248">
        <f t="shared" ref="I9:I15" si="0">Q9*$N9/1000</f>
        <v>0</v>
      </c>
      <c r="J9" s="248">
        <f>R9*$N9/1000</f>
        <v>0</v>
      </c>
      <c r="K9" s="248">
        <f>S9*$N9/1000</f>
        <v>0</v>
      </c>
      <c r="L9" s="203"/>
      <c r="M9" s="248">
        <f>SUM(I9:K9)</f>
        <v>0</v>
      </c>
      <c r="N9" s="249">
        <f>T9*E9</f>
        <v>0</v>
      </c>
      <c r="Q9" s="8">
        <f>VLOOKUP($C9,'Calculation engine'!$B$8:$G$35,3,FALSE)</f>
        <v>0</v>
      </c>
      <c r="R9" s="8">
        <f>VLOOKUP($C9,'Calculation engine'!$B$8:$G$35,4,FALSE)</f>
        <v>0</v>
      </c>
      <c r="S9" s="8">
        <f>VLOOKUP($C9,'Calculation engine'!$B$8:$G$35,5,FALSE)</f>
        <v>0</v>
      </c>
      <c r="T9" s="8">
        <f>VLOOKUP($C9,'Calculation engine'!$B$8:$G$35,2,FALSE)</f>
        <v>0</v>
      </c>
    </row>
    <row r="10" spans="2:20" ht="15" customHeight="1" x14ac:dyDescent="0.3">
      <c r="B10" s="155"/>
      <c r="C10" s="136" t="s">
        <v>22</v>
      </c>
      <c r="D10" s="137"/>
      <c r="E10" s="295"/>
      <c r="F10" s="138"/>
      <c r="G10" s="20" t="str">
        <f>VLOOKUP($C10,'Calculation engine'!$B$8:$G$35,6,FALSE)</f>
        <v>-</v>
      </c>
      <c r="H10" s="139"/>
      <c r="I10" s="248">
        <f t="shared" si="0"/>
        <v>0</v>
      </c>
      <c r="J10" s="248">
        <f t="shared" ref="J10:J15" si="1">R10*$N10/1000</f>
        <v>0</v>
      </c>
      <c r="K10" s="248">
        <f t="shared" ref="K10:K15" si="2">S10*$N10/1000</f>
        <v>0</v>
      </c>
      <c r="L10" s="203"/>
      <c r="M10" s="248">
        <f t="shared" ref="M10:M15" si="3">SUM(I10:K10)</f>
        <v>0</v>
      </c>
      <c r="N10" s="249">
        <f t="shared" ref="N10:N15" si="4">T10*E10</f>
        <v>0</v>
      </c>
      <c r="Q10" s="8">
        <f>VLOOKUP($C10,'Calculation engine'!$B$8:$G$35,3,FALSE)</f>
        <v>0</v>
      </c>
      <c r="R10" s="8">
        <f>VLOOKUP($C10,'Calculation engine'!$B$8:$G$35,4,FALSE)</f>
        <v>0</v>
      </c>
      <c r="S10" s="8">
        <f>VLOOKUP($C10,'Calculation engine'!$B$8:$G$35,5,FALSE)</f>
        <v>0</v>
      </c>
      <c r="T10" s="8">
        <f>VLOOKUP($C10,'Calculation engine'!$B$8:$G$35,2,FALSE)</f>
        <v>0</v>
      </c>
    </row>
    <row r="11" spans="2:20" ht="15" customHeight="1" x14ac:dyDescent="0.3">
      <c r="B11" s="155"/>
      <c r="C11" s="136" t="s">
        <v>22</v>
      </c>
      <c r="D11" s="137"/>
      <c r="E11" s="295"/>
      <c r="F11" s="138"/>
      <c r="G11" s="20" t="str">
        <f>VLOOKUP($C11,'Calculation engine'!$B$8:$G$35,6,FALSE)</f>
        <v>-</v>
      </c>
      <c r="H11" s="139"/>
      <c r="I11" s="248">
        <f t="shared" ref="I11:K13" si="5">Q11*$N11/1000</f>
        <v>0</v>
      </c>
      <c r="J11" s="248">
        <f t="shared" si="5"/>
        <v>0</v>
      </c>
      <c r="K11" s="248">
        <f t="shared" si="5"/>
        <v>0</v>
      </c>
      <c r="L11" s="203"/>
      <c r="M11" s="248">
        <f>SUM(I11:K11)</f>
        <v>0</v>
      </c>
      <c r="N11" s="249">
        <f>T11*E11</f>
        <v>0</v>
      </c>
      <c r="Q11" s="8">
        <f>VLOOKUP($C11,'Calculation engine'!$B$8:$G$35,3,FALSE)</f>
        <v>0</v>
      </c>
      <c r="R11" s="8">
        <f>VLOOKUP($C11,'Calculation engine'!$B$8:$G$35,4,FALSE)</f>
        <v>0</v>
      </c>
      <c r="S11" s="8">
        <f>VLOOKUP($C11,'Calculation engine'!$B$8:$G$35,5,FALSE)</f>
        <v>0</v>
      </c>
      <c r="T11" s="8">
        <f>VLOOKUP($C11,'Calculation engine'!$B$8:$G$35,2,FALSE)</f>
        <v>0</v>
      </c>
    </row>
    <row r="12" spans="2:20" ht="15" customHeight="1" x14ac:dyDescent="0.3">
      <c r="B12" s="155"/>
      <c r="C12" s="136" t="s">
        <v>22</v>
      </c>
      <c r="D12" s="137"/>
      <c r="E12" s="295"/>
      <c r="F12" s="138"/>
      <c r="G12" s="20" t="str">
        <f>VLOOKUP($C12,'Calculation engine'!$B$8:$G$35,6,FALSE)</f>
        <v>-</v>
      </c>
      <c r="H12" s="139"/>
      <c r="I12" s="248">
        <f t="shared" si="5"/>
        <v>0</v>
      </c>
      <c r="J12" s="248">
        <f t="shared" si="5"/>
        <v>0</v>
      </c>
      <c r="K12" s="248">
        <f t="shared" si="5"/>
        <v>0</v>
      </c>
      <c r="L12" s="203"/>
      <c r="M12" s="248">
        <f>SUM(I12:K12)</f>
        <v>0</v>
      </c>
      <c r="N12" s="249">
        <f>T12*E12</f>
        <v>0</v>
      </c>
      <c r="Q12" s="8">
        <f>VLOOKUP($C12,'Calculation engine'!$B$8:$G$35,3,FALSE)</f>
        <v>0</v>
      </c>
      <c r="R12" s="8">
        <f>VLOOKUP($C12,'Calculation engine'!$B$8:$G$35,4,FALSE)</f>
        <v>0</v>
      </c>
      <c r="S12" s="8">
        <f>VLOOKUP($C12,'Calculation engine'!$B$8:$G$35,5,FALSE)</f>
        <v>0</v>
      </c>
      <c r="T12" s="8">
        <f>VLOOKUP($C12,'Calculation engine'!$B$8:$G$35,2,FALSE)</f>
        <v>0</v>
      </c>
    </row>
    <row r="13" spans="2:20" ht="15" customHeight="1" x14ac:dyDescent="0.3">
      <c r="B13" s="155"/>
      <c r="C13" s="136" t="s">
        <v>22</v>
      </c>
      <c r="D13" s="137"/>
      <c r="E13" s="295"/>
      <c r="F13" s="138"/>
      <c r="G13" s="20" t="str">
        <f>VLOOKUP($C13,'Calculation engine'!$B$8:$G$35,6,FALSE)</f>
        <v>-</v>
      </c>
      <c r="H13" s="139"/>
      <c r="I13" s="248">
        <f t="shared" si="5"/>
        <v>0</v>
      </c>
      <c r="J13" s="248">
        <f t="shared" si="5"/>
        <v>0</v>
      </c>
      <c r="K13" s="248">
        <f t="shared" si="5"/>
        <v>0</v>
      </c>
      <c r="L13" s="203"/>
      <c r="M13" s="248">
        <f>SUM(I13:K13)</f>
        <v>0</v>
      </c>
      <c r="N13" s="249">
        <f>T13*E13</f>
        <v>0</v>
      </c>
      <c r="Q13" s="8">
        <f>VLOOKUP($C13,'Calculation engine'!$B$8:$G$35,3,FALSE)</f>
        <v>0</v>
      </c>
      <c r="R13" s="8">
        <f>VLOOKUP($C13,'Calculation engine'!$B$8:$G$35,4,FALSE)</f>
        <v>0</v>
      </c>
      <c r="S13" s="8">
        <f>VLOOKUP($C13,'Calculation engine'!$B$8:$G$35,5,FALSE)</f>
        <v>0</v>
      </c>
      <c r="T13" s="8">
        <f>VLOOKUP($C13,'Calculation engine'!$B$8:$G$35,2,FALSE)</f>
        <v>0</v>
      </c>
    </row>
    <row r="14" spans="2:20" ht="15" customHeight="1" x14ac:dyDescent="0.3">
      <c r="B14" s="155"/>
      <c r="C14" s="136" t="s">
        <v>22</v>
      </c>
      <c r="D14" s="137"/>
      <c r="E14" s="295"/>
      <c r="F14" s="138"/>
      <c r="G14" s="20" t="str">
        <f>VLOOKUP($C14,'Calculation engine'!$B$8:$G$35,6,FALSE)</f>
        <v>-</v>
      </c>
      <c r="H14" s="139"/>
      <c r="I14" s="248">
        <f t="shared" si="0"/>
        <v>0</v>
      </c>
      <c r="J14" s="248">
        <f t="shared" si="1"/>
        <v>0</v>
      </c>
      <c r="K14" s="248">
        <f t="shared" si="2"/>
        <v>0</v>
      </c>
      <c r="L14" s="203"/>
      <c r="M14" s="248">
        <f t="shared" si="3"/>
        <v>0</v>
      </c>
      <c r="N14" s="249">
        <f t="shared" si="4"/>
        <v>0</v>
      </c>
      <c r="Q14" s="8">
        <f>VLOOKUP($C14,'Calculation engine'!$B$8:$G$35,3,FALSE)</f>
        <v>0</v>
      </c>
      <c r="R14" s="8">
        <f>VLOOKUP($C14,'Calculation engine'!$B$8:$G$35,4,FALSE)</f>
        <v>0</v>
      </c>
      <c r="S14" s="8">
        <f>VLOOKUP($C14,'Calculation engine'!$B$8:$G$35,5,FALSE)</f>
        <v>0</v>
      </c>
      <c r="T14" s="8">
        <f>VLOOKUP($C14,'Calculation engine'!$B$8:$G$35,2,FALSE)</f>
        <v>0</v>
      </c>
    </row>
    <row r="15" spans="2:20" ht="15" customHeight="1" x14ac:dyDescent="0.3">
      <c r="B15" s="155"/>
      <c r="C15" s="136" t="s">
        <v>22</v>
      </c>
      <c r="D15" s="137"/>
      <c r="E15" s="295"/>
      <c r="F15" s="138"/>
      <c r="G15" s="20" t="str">
        <f>VLOOKUP($C15,'Calculation engine'!$B$8:$G$35,6,FALSE)</f>
        <v>-</v>
      </c>
      <c r="H15" s="139"/>
      <c r="I15" s="248">
        <f t="shared" si="0"/>
        <v>0</v>
      </c>
      <c r="J15" s="248">
        <f t="shared" si="1"/>
        <v>0</v>
      </c>
      <c r="K15" s="248">
        <f t="shared" si="2"/>
        <v>0</v>
      </c>
      <c r="L15" s="203"/>
      <c r="M15" s="248">
        <f t="shared" si="3"/>
        <v>0</v>
      </c>
      <c r="N15" s="249">
        <f t="shared" si="4"/>
        <v>0</v>
      </c>
      <c r="Q15" s="8">
        <f>VLOOKUP($C15,'Calculation engine'!$B$8:$G$35,3,FALSE)</f>
        <v>0</v>
      </c>
      <c r="R15" s="8">
        <f>VLOOKUP($C15,'Calculation engine'!$B$8:$G$35,4,FALSE)</f>
        <v>0</v>
      </c>
      <c r="S15" s="8">
        <f>VLOOKUP($C15,'Calculation engine'!$B$8:$G$35,5,FALSE)</f>
        <v>0</v>
      </c>
      <c r="T15" s="8">
        <f>VLOOKUP($C15,'Calculation engine'!$B$8:$G$35,2,FALSE)</f>
        <v>0</v>
      </c>
    </row>
    <row r="16" spans="2:20" ht="15" customHeight="1" x14ac:dyDescent="0.3">
      <c r="B16" s="158"/>
      <c r="C16" s="141"/>
      <c r="D16" s="141"/>
      <c r="E16" s="142"/>
      <c r="F16" s="142"/>
      <c r="G16" s="312" t="s">
        <v>23</v>
      </c>
      <c r="H16" s="312"/>
      <c r="I16" s="312"/>
      <c r="J16" s="312"/>
      <c r="K16" s="312"/>
      <c r="L16" s="312"/>
      <c r="M16" s="250">
        <f>SUM(M9:M15)</f>
        <v>0</v>
      </c>
      <c r="N16" s="251">
        <f>SUM(N9:N15)</f>
        <v>0</v>
      </c>
    </row>
    <row r="17" spans="2:20" ht="15" customHeight="1" x14ac:dyDescent="0.3">
      <c r="E17" s="20"/>
      <c r="F17" s="20"/>
      <c r="G17" s="20"/>
    </row>
    <row r="18" spans="2:20" ht="15" customHeight="1" x14ac:dyDescent="0.3">
      <c r="B18" s="126"/>
      <c r="C18" s="313" t="s">
        <v>353</v>
      </c>
      <c r="D18" s="202"/>
      <c r="E18" s="315" t="s">
        <v>5</v>
      </c>
      <c r="F18" s="202"/>
      <c r="G18" s="315" t="s">
        <v>6</v>
      </c>
      <c r="H18" s="152"/>
      <c r="I18" s="317" t="s">
        <v>24</v>
      </c>
      <c r="J18" s="317"/>
      <c r="K18" s="317"/>
      <c r="L18" s="152"/>
      <c r="M18" s="202" t="s">
        <v>8</v>
      </c>
      <c r="N18" s="63" t="s">
        <v>9</v>
      </c>
    </row>
    <row r="19" spans="2:20" ht="15.75" customHeight="1" x14ac:dyDescent="0.3">
      <c r="B19" s="153"/>
      <c r="C19" s="314"/>
      <c r="D19" s="201"/>
      <c r="E19" s="316"/>
      <c r="F19" s="201"/>
      <c r="G19" s="316"/>
      <c r="H19" s="26"/>
      <c r="I19" s="1" t="s">
        <v>11</v>
      </c>
      <c r="J19" s="1" t="s">
        <v>12</v>
      </c>
      <c r="K19" s="1" t="s">
        <v>13</v>
      </c>
      <c r="L19" s="201"/>
      <c r="M19" s="1" t="s">
        <v>14</v>
      </c>
      <c r="N19" s="154" t="s">
        <v>15</v>
      </c>
    </row>
    <row r="20" spans="2:20" ht="15" customHeight="1" x14ac:dyDescent="0.3">
      <c r="B20" s="155"/>
      <c r="C20" s="138" t="s">
        <v>16</v>
      </c>
      <c r="D20" s="138"/>
      <c r="E20" s="138" t="s">
        <v>17</v>
      </c>
      <c r="F20" s="138"/>
      <c r="G20" s="138"/>
      <c r="H20" s="137"/>
      <c r="I20" s="137"/>
      <c r="J20" s="137"/>
      <c r="K20" s="137"/>
      <c r="L20" s="137"/>
      <c r="M20" s="137"/>
      <c r="N20" s="157"/>
      <c r="Q20" s="8" t="s">
        <v>18</v>
      </c>
      <c r="R20" s="8" t="s">
        <v>19</v>
      </c>
      <c r="S20" s="8" t="s">
        <v>20</v>
      </c>
      <c r="T20" s="8" t="s">
        <v>21</v>
      </c>
    </row>
    <row r="21" spans="2:20" ht="15" customHeight="1" x14ac:dyDescent="0.3">
      <c r="B21" s="155"/>
      <c r="C21" s="136" t="s">
        <v>22</v>
      </c>
      <c r="D21" s="137"/>
      <c r="E21" s="295"/>
      <c r="F21" s="138"/>
      <c r="G21" s="20" t="str">
        <f>VLOOKUP($C21,'Calculation engine'!$I$8:$N$68,6,FALSE)</f>
        <v>-</v>
      </c>
      <c r="H21" s="139"/>
      <c r="I21" s="248">
        <f t="shared" ref="I21:K27" si="6">Q21*$N21/1000</f>
        <v>0</v>
      </c>
      <c r="J21" s="248">
        <f t="shared" si="6"/>
        <v>0</v>
      </c>
      <c r="K21" s="248">
        <f t="shared" si="6"/>
        <v>0</v>
      </c>
      <c r="L21" s="203"/>
      <c r="M21" s="248">
        <f t="shared" ref="M21:M27" si="7">SUM(I21:K21)</f>
        <v>0</v>
      </c>
      <c r="N21" s="249">
        <f t="shared" ref="N21:N27" si="8">T21*E21</f>
        <v>0</v>
      </c>
      <c r="Q21" s="8">
        <f>VLOOKUP($C21,'Calculation engine'!$I$8:$N$68,3,FALSE)</f>
        <v>0</v>
      </c>
      <c r="R21" s="8">
        <f>VLOOKUP($C21,'Calculation engine'!$I$8:$N$68,4,FALSE)</f>
        <v>0</v>
      </c>
      <c r="S21" s="8">
        <f>VLOOKUP($C21,'Calculation engine'!$I$8:$N$68,5,FALSE)</f>
        <v>0</v>
      </c>
      <c r="T21" s="8">
        <f>VLOOKUP($C21,'Calculation engine'!$I$8:$N$68,2,FALSE)</f>
        <v>0</v>
      </c>
    </row>
    <row r="22" spans="2:20" ht="14.25" customHeight="1" x14ac:dyDescent="0.3">
      <c r="B22" s="155"/>
      <c r="C22" s="136" t="s">
        <v>22</v>
      </c>
      <c r="D22" s="137"/>
      <c r="E22" s="295"/>
      <c r="F22" s="138"/>
      <c r="G22" s="20" t="str">
        <f>VLOOKUP($C22,'Calculation engine'!$I$8:$N$68,6,FALSE)</f>
        <v>-</v>
      </c>
      <c r="H22" s="139"/>
      <c r="I22" s="248">
        <f t="shared" si="6"/>
        <v>0</v>
      </c>
      <c r="J22" s="248">
        <f t="shared" si="6"/>
        <v>0</v>
      </c>
      <c r="K22" s="248">
        <f t="shared" si="6"/>
        <v>0</v>
      </c>
      <c r="L22" s="203"/>
      <c r="M22" s="248">
        <f t="shared" si="7"/>
        <v>0</v>
      </c>
      <c r="N22" s="249">
        <f t="shared" si="8"/>
        <v>0</v>
      </c>
      <c r="Q22" s="8">
        <f>VLOOKUP($C22,'Calculation engine'!$I$8:$N$68,3,FALSE)</f>
        <v>0</v>
      </c>
      <c r="R22" s="8">
        <f>VLOOKUP($C22,'Calculation engine'!$I$8:$N$68,4,FALSE)</f>
        <v>0</v>
      </c>
      <c r="S22" s="8">
        <f>VLOOKUP($C22,'Calculation engine'!$I$8:$N$68,5,FALSE)</f>
        <v>0</v>
      </c>
      <c r="T22" s="8">
        <f>VLOOKUP($C22,'Calculation engine'!$I$8:$N$68,2,FALSE)</f>
        <v>0</v>
      </c>
    </row>
    <row r="23" spans="2:20" ht="15" customHeight="1" x14ac:dyDescent="0.3">
      <c r="B23" s="155"/>
      <c r="C23" s="136" t="s">
        <v>22</v>
      </c>
      <c r="D23" s="137"/>
      <c r="E23" s="295"/>
      <c r="F23" s="138"/>
      <c r="G23" s="20" t="str">
        <f>VLOOKUP($C23,'Calculation engine'!$I$8:$N$68,6,FALSE)</f>
        <v>-</v>
      </c>
      <c r="H23" s="139"/>
      <c r="I23" s="248">
        <f t="shared" si="6"/>
        <v>0</v>
      </c>
      <c r="J23" s="248">
        <f t="shared" si="6"/>
        <v>0</v>
      </c>
      <c r="K23" s="248">
        <f t="shared" si="6"/>
        <v>0</v>
      </c>
      <c r="L23" s="203"/>
      <c r="M23" s="248">
        <f t="shared" si="7"/>
        <v>0</v>
      </c>
      <c r="N23" s="249">
        <f t="shared" si="8"/>
        <v>0</v>
      </c>
      <c r="Q23" s="8">
        <f>VLOOKUP($C23,'Calculation engine'!$I$8:$N$68,3,FALSE)</f>
        <v>0</v>
      </c>
      <c r="R23" s="8">
        <f>VLOOKUP($C23,'Calculation engine'!$I$8:$N$68,4,FALSE)</f>
        <v>0</v>
      </c>
      <c r="S23" s="8">
        <f>VLOOKUP($C23,'Calculation engine'!$I$8:$N$68,5,FALSE)</f>
        <v>0</v>
      </c>
      <c r="T23" s="8">
        <f>VLOOKUP($C23,'Calculation engine'!$I$8:$N$68,2,FALSE)</f>
        <v>0</v>
      </c>
    </row>
    <row r="24" spans="2:20" ht="15" customHeight="1" x14ac:dyDescent="0.3">
      <c r="B24" s="155"/>
      <c r="C24" s="136" t="s">
        <v>22</v>
      </c>
      <c r="D24" s="137"/>
      <c r="E24" s="295"/>
      <c r="F24" s="138"/>
      <c r="G24" s="20" t="str">
        <f>VLOOKUP($C24,'Calculation engine'!$I$8:$N$68,6,FALSE)</f>
        <v>-</v>
      </c>
      <c r="H24" s="139"/>
      <c r="I24" s="248">
        <f t="shared" si="6"/>
        <v>0</v>
      </c>
      <c r="J24" s="248">
        <f t="shared" si="6"/>
        <v>0</v>
      </c>
      <c r="K24" s="248">
        <f t="shared" si="6"/>
        <v>0</v>
      </c>
      <c r="L24" s="203"/>
      <c r="M24" s="248">
        <f t="shared" si="7"/>
        <v>0</v>
      </c>
      <c r="N24" s="249">
        <f t="shared" si="8"/>
        <v>0</v>
      </c>
      <c r="Q24" s="8">
        <f>VLOOKUP($C24,'Calculation engine'!$I$8:$N$68,3,FALSE)</f>
        <v>0</v>
      </c>
      <c r="R24" s="8">
        <f>VLOOKUP($C24,'Calculation engine'!$I$8:$N$68,4,FALSE)</f>
        <v>0</v>
      </c>
      <c r="S24" s="8">
        <f>VLOOKUP($C24,'Calculation engine'!$I$8:$N$68,5,FALSE)</f>
        <v>0</v>
      </c>
      <c r="T24" s="8">
        <f>VLOOKUP($C24,'Calculation engine'!$I$8:$N$68,2,FALSE)</f>
        <v>0</v>
      </c>
    </row>
    <row r="25" spans="2:20" ht="15" customHeight="1" x14ac:dyDescent="0.3">
      <c r="B25" s="155"/>
      <c r="C25" s="136" t="s">
        <v>22</v>
      </c>
      <c r="D25" s="137"/>
      <c r="E25" s="295"/>
      <c r="F25" s="138"/>
      <c r="G25" s="20" t="str">
        <f>VLOOKUP($C25,'Calculation engine'!$I$8:$N$68,6,FALSE)</f>
        <v>-</v>
      </c>
      <c r="H25" s="139"/>
      <c r="I25" s="248">
        <f t="shared" si="6"/>
        <v>0</v>
      </c>
      <c r="J25" s="248">
        <f t="shared" si="6"/>
        <v>0</v>
      </c>
      <c r="K25" s="248">
        <f t="shared" si="6"/>
        <v>0</v>
      </c>
      <c r="L25" s="203"/>
      <c r="M25" s="248">
        <f t="shared" si="7"/>
        <v>0</v>
      </c>
      <c r="N25" s="249">
        <f t="shared" si="8"/>
        <v>0</v>
      </c>
      <c r="Q25" s="8">
        <f>VLOOKUP($C25,'Calculation engine'!$I$8:$N$68,3,FALSE)</f>
        <v>0</v>
      </c>
      <c r="R25" s="8">
        <f>VLOOKUP($C25,'Calculation engine'!$I$8:$N$68,4,FALSE)</f>
        <v>0</v>
      </c>
      <c r="S25" s="8">
        <f>VLOOKUP($C25,'Calculation engine'!$I$8:$N$68,5,FALSE)</f>
        <v>0</v>
      </c>
      <c r="T25" s="8">
        <f>VLOOKUP($C25,'Calculation engine'!$I$8:$N$68,2,FALSE)</f>
        <v>0</v>
      </c>
    </row>
    <row r="26" spans="2:20" ht="15" customHeight="1" x14ac:dyDescent="0.3">
      <c r="B26" s="155"/>
      <c r="C26" s="136" t="s">
        <v>22</v>
      </c>
      <c r="D26" s="137"/>
      <c r="E26" s="295"/>
      <c r="F26" s="138"/>
      <c r="G26" s="20" t="str">
        <f>VLOOKUP($C26,'Calculation engine'!$I$8:$N$68,6,FALSE)</f>
        <v>-</v>
      </c>
      <c r="H26" s="139"/>
      <c r="I26" s="248">
        <f t="shared" si="6"/>
        <v>0</v>
      </c>
      <c r="J26" s="248">
        <f t="shared" si="6"/>
        <v>0</v>
      </c>
      <c r="K26" s="248">
        <f t="shared" si="6"/>
        <v>0</v>
      </c>
      <c r="L26" s="203"/>
      <c r="M26" s="248">
        <f t="shared" si="7"/>
        <v>0</v>
      </c>
      <c r="N26" s="249">
        <f t="shared" si="8"/>
        <v>0</v>
      </c>
      <c r="Q26" s="8">
        <f>VLOOKUP($C26,'Calculation engine'!$I$8:$N$68,3,FALSE)</f>
        <v>0</v>
      </c>
      <c r="R26" s="8">
        <f>VLOOKUP($C26,'Calculation engine'!$I$8:$N$68,4,FALSE)</f>
        <v>0</v>
      </c>
      <c r="S26" s="8">
        <f>VLOOKUP($C26,'Calculation engine'!$I$8:$N$68,5,FALSE)</f>
        <v>0</v>
      </c>
      <c r="T26" s="8">
        <f>VLOOKUP($C26,'Calculation engine'!$I$8:$N$68,2,FALSE)</f>
        <v>0</v>
      </c>
    </row>
    <row r="27" spans="2:20" ht="15" customHeight="1" x14ac:dyDescent="0.3">
      <c r="B27" s="155"/>
      <c r="C27" s="136" t="s">
        <v>22</v>
      </c>
      <c r="D27" s="137"/>
      <c r="E27" s="295"/>
      <c r="F27" s="138"/>
      <c r="G27" s="20" t="str">
        <f>VLOOKUP($C27,'Calculation engine'!$I$8:$N$68,6,FALSE)</f>
        <v>-</v>
      </c>
      <c r="H27" s="139"/>
      <c r="I27" s="248">
        <f t="shared" si="6"/>
        <v>0</v>
      </c>
      <c r="J27" s="248">
        <f t="shared" si="6"/>
        <v>0</v>
      </c>
      <c r="K27" s="248">
        <f t="shared" si="6"/>
        <v>0</v>
      </c>
      <c r="L27" s="203"/>
      <c r="M27" s="248">
        <f t="shared" si="7"/>
        <v>0</v>
      </c>
      <c r="N27" s="249">
        <f t="shared" si="8"/>
        <v>0</v>
      </c>
      <c r="Q27" s="8">
        <f>VLOOKUP($C27,'Calculation engine'!$I$8:$N$68,3,FALSE)</f>
        <v>0</v>
      </c>
      <c r="R27" s="8">
        <f>VLOOKUP($C27,'Calculation engine'!$I$8:$N$68,4,FALSE)</f>
        <v>0</v>
      </c>
      <c r="S27" s="8">
        <f>VLOOKUP($C27,'Calculation engine'!$I$8:$N$68,5,FALSE)</f>
        <v>0</v>
      </c>
      <c r="T27" s="8">
        <f>VLOOKUP($C27,'Calculation engine'!$I$8:$N$68,2,FALSE)</f>
        <v>0</v>
      </c>
    </row>
    <row r="28" spans="2:20" ht="15" customHeight="1" x14ac:dyDescent="0.3">
      <c r="B28" s="158"/>
      <c r="C28" s="141"/>
      <c r="D28" s="141"/>
      <c r="E28" s="142"/>
      <c r="F28" s="142"/>
      <c r="G28" s="312" t="s">
        <v>25</v>
      </c>
      <c r="H28" s="312"/>
      <c r="I28" s="312"/>
      <c r="J28" s="312"/>
      <c r="K28" s="312"/>
      <c r="L28" s="312"/>
      <c r="M28" s="250">
        <f>SUM(M21:M27)</f>
        <v>0</v>
      </c>
      <c r="N28" s="251">
        <f>SUM(N21:N27)</f>
        <v>0</v>
      </c>
    </row>
    <row r="29" spans="2:20" ht="15" customHeight="1" x14ac:dyDescent="0.3">
      <c r="E29" s="20"/>
      <c r="F29" s="20"/>
      <c r="G29" s="20"/>
    </row>
    <row r="30" spans="2:20" ht="15" customHeight="1" x14ac:dyDescent="0.3">
      <c r="B30" s="126"/>
      <c r="C30" s="313" t="s">
        <v>354</v>
      </c>
      <c r="D30" s="202"/>
      <c r="E30" s="315" t="s">
        <v>5</v>
      </c>
      <c r="F30" s="202"/>
      <c r="G30" s="315" t="s">
        <v>6</v>
      </c>
      <c r="H30" s="152"/>
      <c r="I30" s="317" t="s">
        <v>26</v>
      </c>
      <c r="J30" s="317"/>
      <c r="K30" s="317"/>
      <c r="L30" s="152"/>
      <c r="M30" s="202" t="s">
        <v>27</v>
      </c>
      <c r="N30" s="63" t="s">
        <v>9</v>
      </c>
    </row>
    <row r="31" spans="2:20" ht="15" customHeight="1" x14ac:dyDescent="0.3">
      <c r="B31" s="153"/>
      <c r="C31" s="314"/>
      <c r="D31" s="201"/>
      <c r="E31" s="316"/>
      <c r="F31" s="201"/>
      <c r="G31" s="316"/>
      <c r="H31" s="26"/>
      <c r="I31" s="1" t="s">
        <v>28</v>
      </c>
      <c r="J31" s="1"/>
      <c r="K31" s="26"/>
      <c r="L31" s="201"/>
      <c r="M31" s="1" t="s">
        <v>14</v>
      </c>
      <c r="N31" s="154" t="s">
        <v>15</v>
      </c>
      <c r="Q31" s="2" t="s">
        <v>29</v>
      </c>
    </row>
    <row r="32" spans="2:20" ht="15" customHeight="1" x14ac:dyDescent="0.3">
      <c r="B32" s="155"/>
      <c r="C32" s="138" t="s">
        <v>30</v>
      </c>
      <c r="D32" s="138"/>
      <c r="E32" s="138" t="s">
        <v>17</v>
      </c>
      <c r="F32" s="138"/>
      <c r="G32" s="138"/>
      <c r="H32" s="137"/>
      <c r="I32" s="137"/>
      <c r="J32" s="137"/>
      <c r="K32" s="137"/>
      <c r="L32" s="137"/>
      <c r="M32" s="137"/>
      <c r="N32" s="157"/>
      <c r="Q32" s="1" t="s">
        <v>21</v>
      </c>
    </row>
    <row r="33" spans="2:20" ht="15" customHeight="1" x14ac:dyDescent="0.3">
      <c r="B33" s="155"/>
      <c r="C33" s="136" t="s">
        <v>22</v>
      </c>
      <c r="D33" s="137"/>
      <c r="E33" s="295"/>
      <c r="F33" s="138"/>
      <c r="G33" s="20" t="s">
        <v>31</v>
      </c>
      <c r="I33" s="230">
        <f>VLOOKUP($C33,'Calculation engine'!$Q$10:$T$19,2,FALSE)</f>
        <v>0</v>
      </c>
      <c r="J33" s="324" t="str">
        <f>IF(C33="Not purchased from the main grid","You can enter a custom factor for EF","")</f>
        <v/>
      </c>
      <c r="K33" s="324"/>
      <c r="L33" s="324"/>
      <c r="M33" s="248">
        <f>E33*I33/1000</f>
        <v>0</v>
      </c>
      <c r="N33" s="249">
        <f>E33*Q34</f>
        <v>0</v>
      </c>
      <c r="Q33" s="3"/>
    </row>
    <row r="34" spans="2:20" ht="15.75" customHeight="1" x14ac:dyDescent="0.3">
      <c r="B34" s="155"/>
      <c r="C34" s="136" t="s">
        <v>22</v>
      </c>
      <c r="D34" s="137"/>
      <c r="E34" s="296"/>
      <c r="F34" s="138"/>
      <c r="G34" s="20" t="s">
        <v>31</v>
      </c>
      <c r="I34" s="230">
        <f>VLOOKUP($C34,'Calculation engine'!$Q$10:$T$19,2,FALSE)</f>
        <v>0</v>
      </c>
      <c r="J34" s="323" t="str">
        <f>IF(C34="Not purchased from the main grid","You can enter a custom factor for EF","")</f>
        <v/>
      </c>
      <c r="K34" s="323"/>
      <c r="L34" s="323"/>
      <c r="M34" s="248">
        <f>E34*I34/1000</f>
        <v>0</v>
      </c>
      <c r="N34" s="249">
        <f>E34*Q35</f>
        <v>0</v>
      </c>
      <c r="Q34" s="4">
        <f>VLOOKUP($C33,'Calculation engine'!$Q$10:$T$19,3,FALSE)</f>
        <v>0</v>
      </c>
    </row>
    <row r="35" spans="2:20" ht="16.5" customHeight="1" x14ac:dyDescent="0.3">
      <c r="B35" s="158"/>
      <c r="C35" s="141"/>
      <c r="D35" s="141"/>
      <c r="E35" s="142"/>
      <c r="F35" s="142"/>
      <c r="G35" s="312" t="s">
        <v>32</v>
      </c>
      <c r="H35" s="312"/>
      <c r="I35" s="312"/>
      <c r="J35" s="312"/>
      <c r="K35" s="312"/>
      <c r="L35" s="312"/>
      <c r="M35" s="250">
        <f>SUM(M33:M34)</f>
        <v>0</v>
      </c>
      <c r="N35" s="251">
        <f>SUM(N33:N34)</f>
        <v>0</v>
      </c>
      <c r="Q35" s="4">
        <f>VLOOKUP($C34,'Calculation engine'!$Q$10:$T$19,3,FALSE)</f>
        <v>0</v>
      </c>
    </row>
    <row r="36" spans="2:20" ht="15" customHeight="1" x14ac:dyDescent="0.3">
      <c r="E36" s="20"/>
      <c r="F36" s="20"/>
      <c r="G36" s="160"/>
      <c r="H36" s="160"/>
      <c r="I36" s="160"/>
      <c r="J36" s="160"/>
      <c r="K36" s="160"/>
      <c r="L36" s="160"/>
      <c r="M36" s="24"/>
      <c r="N36" s="24"/>
    </row>
    <row r="37" spans="2:20" ht="15" customHeight="1" x14ac:dyDescent="0.3">
      <c r="B37" s="126"/>
      <c r="C37" s="313" t="s">
        <v>355</v>
      </c>
      <c r="D37" s="202"/>
      <c r="E37" s="315" t="s">
        <v>5</v>
      </c>
      <c r="F37" s="202"/>
      <c r="G37" s="315" t="s">
        <v>6</v>
      </c>
      <c r="H37" s="152"/>
      <c r="I37" s="317"/>
      <c r="J37" s="317"/>
      <c r="K37" s="317"/>
      <c r="L37" s="152"/>
      <c r="M37" s="202"/>
      <c r="N37" s="63" t="s">
        <v>9</v>
      </c>
    </row>
    <row r="38" spans="2:20" ht="15" customHeight="1" x14ac:dyDescent="0.3">
      <c r="B38" s="153"/>
      <c r="C38" s="314"/>
      <c r="D38" s="201"/>
      <c r="E38" s="316"/>
      <c r="F38" s="201"/>
      <c r="G38" s="316"/>
      <c r="H38" s="26"/>
      <c r="I38" s="1"/>
      <c r="J38" s="1"/>
      <c r="K38" s="26"/>
      <c r="L38" s="201"/>
      <c r="M38" s="1"/>
      <c r="N38" s="154" t="s">
        <v>15</v>
      </c>
    </row>
    <row r="39" spans="2:20" ht="15" customHeight="1" x14ac:dyDescent="0.3">
      <c r="B39" s="155"/>
      <c r="C39" s="138" t="s">
        <v>33</v>
      </c>
      <c r="D39" s="138"/>
      <c r="E39" s="138" t="s">
        <v>17</v>
      </c>
      <c r="F39" s="138"/>
      <c r="G39" s="138"/>
      <c r="H39" s="137"/>
      <c r="I39" s="137"/>
      <c r="J39" s="137"/>
      <c r="K39" s="137"/>
      <c r="L39" s="137"/>
      <c r="M39" s="137"/>
      <c r="N39" s="157"/>
      <c r="Q39" s="8" t="s">
        <v>18</v>
      </c>
      <c r="R39" s="8" t="s">
        <v>19</v>
      </c>
      <c r="S39" s="8" t="s">
        <v>20</v>
      </c>
      <c r="T39" s="8" t="s">
        <v>21</v>
      </c>
    </row>
    <row r="40" spans="2:20" ht="15" customHeight="1" x14ac:dyDescent="0.3">
      <c r="B40" s="155"/>
      <c r="C40" s="136" t="s">
        <v>22</v>
      </c>
      <c r="D40" s="137"/>
      <c r="E40" s="295"/>
      <c r="F40" s="138"/>
      <c r="G40" s="20" t="str">
        <f>VLOOKUP($C40,'Calculation engine'!$AD$8:$AI$84,6,FALSE)</f>
        <v>-</v>
      </c>
      <c r="I40" s="22"/>
      <c r="J40" s="22"/>
      <c r="K40" s="161"/>
      <c r="L40" s="22"/>
      <c r="M40" s="22">
        <f>E40*I40/1000</f>
        <v>0</v>
      </c>
      <c r="N40" s="249">
        <f>T40*E40</f>
        <v>0</v>
      </c>
      <c r="Q40" s="8"/>
      <c r="R40" s="8"/>
      <c r="S40" s="8"/>
      <c r="T40" s="8">
        <f>VLOOKUP($C40,'Calculation engine'!$AD$8:$AI$84,5,FALSE)</f>
        <v>0</v>
      </c>
    </row>
    <row r="41" spans="2:20" ht="15" customHeight="1" x14ac:dyDescent="0.3">
      <c r="B41" s="155"/>
      <c r="C41" s="136" t="s">
        <v>22</v>
      </c>
      <c r="D41" s="137"/>
      <c r="E41" s="295"/>
      <c r="F41" s="138"/>
      <c r="G41" s="20" t="str">
        <f>VLOOKUP($C41,'Calculation engine'!$AD$8:$AI$84,6,FALSE)</f>
        <v>-</v>
      </c>
      <c r="I41" s="22"/>
      <c r="J41" s="22"/>
      <c r="K41" s="161"/>
      <c r="L41" s="22"/>
      <c r="M41" s="22"/>
      <c r="N41" s="249">
        <f>T41*E41</f>
        <v>0</v>
      </c>
      <c r="Q41" s="8"/>
      <c r="R41" s="8"/>
      <c r="S41" s="8"/>
      <c r="T41" s="8">
        <f>VLOOKUP($C41,'Calculation engine'!$AD$8:$AI$84,5,FALSE)</f>
        <v>0</v>
      </c>
    </row>
    <row r="42" spans="2:20" ht="15" customHeight="1" x14ac:dyDescent="0.3">
      <c r="B42" s="155"/>
      <c r="C42" s="136" t="s">
        <v>22</v>
      </c>
      <c r="D42" s="137"/>
      <c r="E42" s="295"/>
      <c r="F42" s="138"/>
      <c r="G42" s="20" t="str">
        <f>VLOOKUP($C42,'Calculation engine'!$AD$8:$AI$84,6,FALSE)</f>
        <v>-</v>
      </c>
      <c r="I42" s="22"/>
      <c r="J42" s="322"/>
      <c r="K42" s="322"/>
      <c r="L42" s="22"/>
      <c r="M42" s="22">
        <f>E42*I42/1000</f>
        <v>0</v>
      </c>
      <c r="N42" s="249">
        <f>T42*E42</f>
        <v>0</v>
      </c>
      <c r="Q42" s="8"/>
      <c r="R42" s="8"/>
      <c r="S42" s="8"/>
      <c r="T42" s="8">
        <f>VLOOKUP($C42,'Calculation engine'!$AD$8:$AI$84,5,FALSE)</f>
        <v>0</v>
      </c>
    </row>
    <row r="43" spans="2:20" ht="15" customHeight="1" x14ac:dyDescent="0.3">
      <c r="B43" s="158"/>
      <c r="C43" s="141"/>
      <c r="D43" s="141"/>
      <c r="E43" s="142"/>
      <c r="F43" s="142"/>
      <c r="G43" s="312" t="s">
        <v>34</v>
      </c>
      <c r="H43" s="312"/>
      <c r="I43" s="312"/>
      <c r="J43" s="312"/>
      <c r="K43" s="312"/>
      <c r="L43" s="312"/>
      <c r="M43" s="162"/>
      <c r="N43" s="251">
        <f>SUM(N40:N42)</f>
        <v>0</v>
      </c>
    </row>
    <row r="44" spans="2:20" ht="15" customHeight="1" x14ac:dyDescent="0.3">
      <c r="E44" s="20"/>
      <c r="F44" s="20"/>
      <c r="G44" s="160"/>
      <c r="H44" s="160"/>
      <c r="I44" s="160"/>
      <c r="J44" s="160"/>
      <c r="K44" s="160"/>
      <c r="L44" s="160"/>
      <c r="M44" s="24"/>
      <c r="N44" s="24"/>
    </row>
    <row r="45" spans="2:20" ht="15" customHeight="1" x14ac:dyDescent="0.3">
      <c r="B45" s="126"/>
      <c r="C45" s="313" t="s">
        <v>356</v>
      </c>
      <c r="D45" s="202"/>
      <c r="E45" s="315" t="s">
        <v>5</v>
      </c>
      <c r="F45" s="202"/>
      <c r="G45" s="315" t="s">
        <v>6</v>
      </c>
      <c r="H45" s="152"/>
      <c r="I45" s="317"/>
      <c r="J45" s="317"/>
      <c r="K45" s="317"/>
      <c r="L45" s="152"/>
      <c r="M45" s="202"/>
      <c r="N45" s="63" t="s">
        <v>9</v>
      </c>
    </row>
    <row r="46" spans="2:20" ht="15" customHeight="1" x14ac:dyDescent="0.3">
      <c r="B46" s="153"/>
      <c r="C46" s="314"/>
      <c r="D46" s="201"/>
      <c r="E46" s="316"/>
      <c r="F46" s="201"/>
      <c r="G46" s="316"/>
      <c r="H46" s="26"/>
      <c r="I46" s="1"/>
      <c r="J46" s="1"/>
      <c r="K46" s="26"/>
      <c r="L46" s="201"/>
      <c r="M46" s="1"/>
      <c r="N46" s="154" t="s">
        <v>15</v>
      </c>
    </row>
    <row r="47" spans="2:20" ht="15" customHeight="1" x14ac:dyDescent="0.3">
      <c r="B47" s="155"/>
      <c r="C47" s="138" t="s">
        <v>35</v>
      </c>
      <c r="D47" s="138"/>
      <c r="E47" s="138" t="s">
        <v>17</v>
      </c>
      <c r="F47" s="138"/>
      <c r="G47" s="138"/>
      <c r="H47" s="137"/>
      <c r="I47" s="137"/>
      <c r="J47" s="137"/>
      <c r="K47" s="137"/>
      <c r="L47" s="137"/>
      <c r="M47" s="137"/>
      <c r="N47" s="157"/>
      <c r="Q47" s="8" t="s">
        <v>18</v>
      </c>
      <c r="R47" s="8" t="s">
        <v>19</v>
      </c>
      <c r="S47" s="8" t="s">
        <v>20</v>
      </c>
      <c r="T47" s="8" t="s">
        <v>21</v>
      </c>
    </row>
    <row r="48" spans="2:20" ht="15" customHeight="1" x14ac:dyDescent="0.3">
      <c r="B48" s="155"/>
      <c r="C48" s="136" t="s">
        <v>22</v>
      </c>
      <c r="D48" s="137"/>
      <c r="E48" s="295"/>
      <c r="F48" s="138"/>
      <c r="G48" s="20" t="str">
        <f>VLOOKUP($C48,'Calculation engine'!$W$8:$AB$78,6,FALSE)</f>
        <v>-</v>
      </c>
      <c r="I48" s="22"/>
      <c r="J48" s="22"/>
      <c r="K48" s="161"/>
      <c r="L48" s="22"/>
      <c r="M48" s="22">
        <f>E48*I48/1000</f>
        <v>0</v>
      </c>
      <c r="N48" s="249">
        <f>T48*E48</f>
        <v>0</v>
      </c>
      <c r="Q48" s="8"/>
      <c r="R48" s="8"/>
      <c r="S48" s="8"/>
      <c r="T48" s="8">
        <f>VLOOKUP($C48,'Calculation engine'!$W$8:$AB$78,5,FALSE)</f>
        <v>0</v>
      </c>
    </row>
    <row r="49" spans="2:20" ht="15" customHeight="1" x14ac:dyDescent="0.3">
      <c r="B49" s="155"/>
      <c r="C49" s="136" t="s">
        <v>22</v>
      </c>
      <c r="D49" s="137"/>
      <c r="E49" s="297"/>
      <c r="F49" s="138"/>
      <c r="G49" s="20" t="str">
        <f>VLOOKUP($C49,'Calculation engine'!$W$8:$AB$78,6,FALSE)</f>
        <v>-</v>
      </c>
      <c r="I49" s="22"/>
      <c r="J49" s="22"/>
      <c r="K49" s="161"/>
      <c r="L49" s="22"/>
      <c r="M49" s="22"/>
      <c r="N49" s="249">
        <f>T49*E49</f>
        <v>0</v>
      </c>
      <c r="Q49" s="8"/>
      <c r="R49" s="8"/>
      <c r="S49" s="8"/>
      <c r="T49" s="8">
        <f>VLOOKUP($C49,'Calculation engine'!$W$8:$AB$78,5,FALSE)</f>
        <v>0</v>
      </c>
    </row>
    <row r="50" spans="2:20" ht="15" customHeight="1" x14ac:dyDescent="0.3">
      <c r="B50" s="155"/>
      <c r="C50" s="136" t="s">
        <v>22</v>
      </c>
      <c r="D50" s="137"/>
      <c r="E50" s="296"/>
      <c r="F50" s="138"/>
      <c r="G50" s="20" t="str">
        <f>VLOOKUP($C50,'Calculation engine'!$W$8:$AB$78,6,FALSE)</f>
        <v>-</v>
      </c>
      <c r="I50" s="22"/>
      <c r="J50" s="322"/>
      <c r="K50" s="322"/>
      <c r="L50" s="22"/>
      <c r="M50" s="22">
        <f>E50*I50/1000</f>
        <v>0</v>
      </c>
      <c r="N50" s="249">
        <f>T50*E50</f>
        <v>0</v>
      </c>
      <c r="Q50" s="8"/>
      <c r="R50" s="8"/>
      <c r="S50" s="8"/>
      <c r="T50" s="8">
        <f>VLOOKUP($C50,'Calculation engine'!$W$8:$AB$78,5,FALSE)</f>
        <v>0</v>
      </c>
    </row>
    <row r="51" spans="2:20" ht="15" customHeight="1" x14ac:dyDescent="0.3">
      <c r="B51" s="158"/>
      <c r="C51" s="141"/>
      <c r="D51" s="141"/>
      <c r="E51" s="142"/>
      <c r="F51" s="142"/>
      <c r="G51" s="312" t="s">
        <v>36</v>
      </c>
      <c r="H51" s="312"/>
      <c r="I51" s="312"/>
      <c r="J51" s="312"/>
      <c r="K51" s="312"/>
      <c r="L51" s="312"/>
      <c r="M51" s="162"/>
      <c r="N51" s="251">
        <f>SUM(N48:N50)</f>
        <v>0</v>
      </c>
    </row>
    <row r="52" spans="2:20" ht="15" customHeight="1" x14ac:dyDescent="0.3">
      <c r="E52" s="20"/>
      <c r="F52" s="20"/>
      <c r="G52" s="160"/>
      <c r="H52" s="160"/>
      <c r="I52" s="160"/>
      <c r="J52" s="160"/>
      <c r="K52" s="160"/>
      <c r="L52" s="160"/>
      <c r="M52" s="24"/>
      <c r="N52" s="197"/>
    </row>
    <row r="53" spans="2:20" ht="15" customHeight="1" x14ac:dyDescent="0.35">
      <c r="B53" s="126"/>
      <c r="C53" s="313" t="s">
        <v>357</v>
      </c>
      <c r="D53" s="202"/>
      <c r="E53" s="315"/>
      <c r="F53" s="202"/>
      <c r="G53" s="315"/>
      <c r="H53" s="152"/>
      <c r="I53" s="317" t="s">
        <v>37</v>
      </c>
      <c r="J53" s="317"/>
      <c r="K53" s="317"/>
      <c r="L53" s="152"/>
      <c r="M53" s="202" t="s">
        <v>8</v>
      </c>
      <c r="N53" s="63"/>
    </row>
    <row r="54" spans="2:20" ht="15" customHeight="1" x14ac:dyDescent="0.3">
      <c r="B54" s="153"/>
      <c r="C54" s="314"/>
      <c r="D54" s="201"/>
      <c r="E54" s="316"/>
      <c r="F54" s="201"/>
      <c r="G54" s="316"/>
      <c r="H54" s="26"/>
      <c r="I54" s="1" t="s">
        <v>11</v>
      </c>
      <c r="J54" s="1" t="s">
        <v>12</v>
      </c>
      <c r="K54" s="1" t="s">
        <v>13</v>
      </c>
      <c r="L54" s="201"/>
      <c r="M54" s="1" t="s">
        <v>14</v>
      </c>
      <c r="N54" s="154"/>
    </row>
    <row r="55" spans="2:20" ht="15" customHeight="1" x14ac:dyDescent="0.3">
      <c r="B55" s="155"/>
      <c r="C55" s="138" t="s">
        <v>38</v>
      </c>
      <c r="D55" s="138"/>
      <c r="E55" s="138"/>
      <c r="F55" s="138"/>
      <c r="G55" s="138"/>
      <c r="H55" s="137"/>
      <c r="I55" s="137"/>
      <c r="J55" s="137"/>
      <c r="K55" s="137"/>
      <c r="L55" s="137"/>
      <c r="M55" s="198"/>
      <c r="N55" s="157"/>
      <c r="Q55" s="2">
        <v>0</v>
      </c>
    </row>
    <row r="56" spans="2:20" s="9" customFormat="1" ht="15" customHeight="1" x14ac:dyDescent="0.3">
      <c r="B56" s="155"/>
      <c r="C56" s="159"/>
      <c r="D56" s="137"/>
      <c r="E56" s="217"/>
      <c r="F56" s="138"/>
      <c r="G56" s="138"/>
      <c r="H56" s="156"/>
      <c r="I56" s="199">
        <v>0</v>
      </c>
      <c r="J56" s="199">
        <v>0</v>
      </c>
      <c r="K56" s="199">
        <v>0</v>
      </c>
      <c r="L56" s="203"/>
      <c r="M56" s="248">
        <f>SUM(I56:K56)</f>
        <v>0</v>
      </c>
      <c r="N56" s="140"/>
      <c r="Q56" s="9">
        <v>25000</v>
      </c>
    </row>
    <row r="57" spans="2:20" s="9" customFormat="1" ht="15" customHeight="1" x14ac:dyDescent="0.3">
      <c r="B57" s="155"/>
      <c r="C57" s="159"/>
      <c r="D57" s="137"/>
      <c r="E57" s="217"/>
      <c r="F57" s="138"/>
      <c r="G57" s="138"/>
      <c r="H57" s="156"/>
      <c r="I57" s="199">
        <v>0</v>
      </c>
      <c r="J57" s="199">
        <v>0</v>
      </c>
      <c r="K57" s="199">
        <v>0</v>
      </c>
      <c r="L57" s="203"/>
      <c r="M57" s="248">
        <f>SUM(I57:K57)</f>
        <v>0</v>
      </c>
      <c r="N57" s="140"/>
    </row>
    <row r="58" spans="2:20" s="9" customFormat="1" ht="15" customHeight="1" x14ac:dyDescent="0.3">
      <c r="B58" s="158"/>
      <c r="C58" s="141"/>
      <c r="D58" s="141"/>
      <c r="E58" s="142"/>
      <c r="F58" s="142"/>
      <c r="G58" s="312" t="s">
        <v>39</v>
      </c>
      <c r="H58" s="312"/>
      <c r="I58" s="312"/>
      <c r="J58" s="312"/>
      <c r="K58" s="312"/>
      <c r="L58" s="312"/>
      <c r="M58" s="250">
        <f>SUM(M56:M57)</f>
        <v>0</v>
      </c>
      <c r="N58" s="143"/>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6"/>
      <c r="C60" s="325" t="s">
        <v>358</v>
      </c>
      <c r="D60" s="327" t="s">
        <v>40</v>
      </c>
      <c r="E60" s="327"/>
      <c r="F60" s="327"/>
      <c r="G60" s="327"/>
      <c r="H60" s="163"/>
      <c r="I60" s="163"/>
      <c r="J60" s="164"/>
      <c r="K60" s="164"/>
      <c r="L60" s="327" t="s">
        <v>41</v>
      </c>
      <c r="M60" s="327"/>
      <c r="N60" s="165"/>
    </row>
    <row r="61" spans="2:20" s="9" customFormat="1" ht="15" customHeight="1" x14ac:dyDescent="0.3">
      <c r="B61" s="144"/>
      <c r="C61" s="314"/>
      <c r="D61" s="316"/>
      <c r="E61" s="316"/>
      <c r="F61" s="316"/>
      <c r="G61" s="316"/>
      <c r="H61" s="26"/>
      <c r="I61" s="1"/>
      <c r="J61" s="166"/>
      <c r="K61" s="166"/>
      <c r="L61" s="316"/>
      <c r="M61" s="316"/>
      <c r="N61" s="167"/>
    </row>
    <row r="62" spans="2:20" s="9" customFormat="1" ht="15" customHeight="1" x14ac:dyDescent="0.3">
      <c r="B62" s="144"/>
      <c r="C62" s="65" t="s">
        <v>42</v>
      </c>
      <c r="D62" s="331">
        <f>M16+M28+M58</f>
        <v>0</v>
      </c>
      <c r="E62" s="331"/>
      <c r="F62" s="20"/>
      <c r="G62" s="9" t="s">
        <v>43</v>
      </c>
      <c r="L62" s="247">
        <f>IFERROR((D62/'Facility 1'!$N$4)*Output!$N$2,0)</f>
        <v>0</v>
      </c>
      <c r="M62" s="190" t="s">
        <v>43</v>
      </c>
      <c r="N62" s="145"/>
    </row>
    <row r="63" spans="2:20" s="9" customFormat="1" ht="15" customHeight="1" x14ac:dyDescent="0.3">
      <c r="B63" s="146"/>
      <c r="C63" s="65" t="s">
        <v>44</v>
      </c>
      <c r="D63" s="331">
        <f>M35</f>
        <v>0</v>
      </c>
      <c r="E63" s="331"/>
      <c r="F63" s="20"/>
      <c r="G63" s="9" t="s">
        <v>43</v>
      </c>
      <c r="L63" s="247">
        <f>IFERROR((D63/'Facility 1'!$N$4)*Output!$N$2,0)</f>
        <v>0</v>
      </c>
      <c r="M63" s="190" t="s">
        <v>43</v>
      </c>
      <c r="N63" s="49"/>
    </row>
    <row r="64" spans="2:20" ht="15" customHeight="1" x14ac:dyDescent="0.3">
      <c r="B64" s="146"/>
      <c r="C64" s="14" t="s">
        <v>45</v>
      </c>
      <c r="D64" s="337">
        <f>D62+D63</f>
        <v>0</v>
      </c>
      <c r="E64" s="338"/>
      <c r="F64" s="20"/>
      <c r="G64" s="191" t="s">
        <v>46</v>
      </c>
      <c r="H64" s="191"/>
      <c r="I64" s="9"/>
      <c r="J64" s="9"/>
      <c r="K64" s="9"/>
      <c r="L64" s="252">
        <f>IFERROR((D64/'Facility 1'!$N$4)*Output!$N$2,0)</f>
        <v>0</v>
      </c>
      <c r="M64" s="192" t="s">
        <v>46</v>
      </c>
      <c r="N64" s="211"/>
    </row>
    <row r="65" spans="2:14" ht="15" customHeight="1" x14ac:dyDescent="0.3">
      <c r="B65" s="146"/>
      <c r="C65" s="15" t="s">
        <v>47</v>
      </c>
      <c r="D65" s="339">
        <f>N16+N28+N35+N43</f>
        <v>0</v>
      </c>
      <c r="E65" s="340"/>
      <c r="F65" s="193"/>
      <c r="G65" s="51" t="s">
        <v>48</v>
      </c>
      <c r="H65" s="51"/>
      <c r="I65" s="194"/>
      <c r="J65" s="194"/>
      <c r="K65" s="194"/>
      <c r="L65" s="252">
        <f>IFERROR((D65/'Facility 1'!$N$4)*Output!$N$2,0)</f>
        <v>0</v>
      </c>
      <c r="M65" s="85" t="s">
        <v>48</v>
      </c>
      <c r="N65" s="55"/>
    </row>
    <row r="66" spans="2:14" ht="15" customHeight="1" x14ac:dyDescent="0.3">
      <c r="B66" s="147"/>
      <c r="C66" s="17" t="s">
        <v>49</v>
      </c>
      <c r="D66" s="341">
        <f>N51</f>
        <v>0</v>
      </c>
      <c r="E66" s="342"/>
      <c r="F66" s="195"/>
      <c r="G66" s="57" t="s">
        <v>48</v>
      </c>
      <c r="H66" s="57"/>
      <c r="I66" s="196"/>
      <c r="J66" s="196"/>
      <c r="K66" s="196"/>
      <c r="L66" s="253">
        <f>IFERROR((D66/'Facility 1'!$N$4)*Output!$N$2,0)</f>
        <v>0</v>
      </c>
      <c r="M66" s="86"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48"/>
      <c r="C68" s="325" t="s">
        <v>359</v>
      </c>
      <c r="D68" s="325"/>
      <c r="E68" s="325"/>
      <c r="F68" s="325"/>
      <c r="G68" s="325"/>
      <c r="H68" s="325"/>
      <c r="I68" s="325"/>
      <c r="J68" s="325"/>
      <c r="K68" s="325"/>
      <c r="L68" s="325"/>
      <c r="M68" s="325"/>
      <c r="N68" s="329"/>
    </row>
    <row r="69" spans="2:14" ht="15" customHeight="1" x14ac:dyDescent="0.3">
      <c r="B69" s="18"/>
      <c r="C69" s="314"/>
      <c r="D69" s="314"/>
      <c r="E69" s="314"/>
      <c r="F69" s="314"/>
      <c r="G69" s="314"/>
      <c r="H69" s="314"/>
      <c r="I69" s="314"/>
      <c r="J69" s="314"/>
      <c r="K69" s="314"/>
      <c r="L69" s="314"/>
      <c r="M69" s="314"/>
      <c r="N69" s="330"/>
    </row>
    <row r="70" spans="2:14" ht="15" customHeight="1" x14ac:dyDescent="0.3">
      <c r="B70" s="19"/>
      <c r="C70" s="326" t="s">
        <v>50</v>
      </c>
      <c r="D70" s="30"/>
      <c r="E70" s="31" t="s">
        <v>51</v>
      </c>
      <c r="F70" s="336" t="str">
        <f>IF(L64&gt;=25000,"You may have triggered the emissions reporting threshold for this facility. Please contact the Clean Energy Regulator",IF(L64&gt;21000, "You are close to the emissions reporting threshold for this facility. Please contact the Clean Energy Regulator",""))</f>
        <v/>
      </c>
      <c r="G70" s="336"/>
      <c r="H70" s="336"/>
      <c r="I70" s="336"/>
      <c r="J70" s="336"/>
      <c r="K70" s="336"/>
      <c r="L70" s="336"/>
      <c r="M70" s="336"/>
      <c r="N70" s="32" t="s">
        <v>52</v>
      </c>
    </row>
    <row r="71" spans="2:14" ht="15" customHeight="1" x14ac:dyDescent="0.35">
      <c r="B71" s="144"/>
      <c r="C71" s="326"/>
      <c r="D71" s="33"/>
      <c r="E71" s="332">
        <f>L64</f>
        <v>0</v>
      </c>
      <c r="F71" s="332"/>
      <c r="G71" s="332"/>
      <c r="H71" s="332"/>
      <c r="I71" s="332"/>
      <c r="J71" s="332"/>
      <c r="K71" s="332"/>
      <c r="L71" s="332"/>
      <c r="M71" s="332"/>
      <c r="N71" s="333"/>
    </row>
    <row r="72" spans="2:14" ht="15" customHeight="1" x14ac:dyDescent="0.35">
      <c r="B72" s="144"/>
      <c r="C72" s="326" t="s">
        <v>53</v>
      </c>
      <c r="D72" s="33"/>
      <c r="E72" s="34" t="s">
        <v>54</v>
      </c>
      <c r="F72" s="343" t="str">
        <f>IF(L65&gt;=100000,"You may have triggered the energy reporting threshold for this facility. Please contact the Clean Energy Regulator",IF(L65&gt;90000, "You are close to the energy reporting threshold for this facility. Please contact the Clean Energy Regulator",""))</f>
        <v/>
      </c>
      <c r="G72" s="343"/>
      <c r="H72" s="343"/>
      <c r="I72" s="343"/>
      <c r="J72" s="343"/>
      <c r="K72" s="343"/>
      <c r="L72" s="343"/>
      <c r="M72" s="343"/>
      <c r="N72" s="35" t="s">
        <v>55</v>
      </c>
    </row>
    <row r="73" spans="2:14" ht="17.55" customHeight="1" x14ac:dyDescent="0.3">
      <c r="B73" s="144"/>
      <c r="C73" s="326"/>
      <c r="E73" s="332">
        <f>L65</f>
        <v>0</v>
      </c>
      <c r="F73" s="332"/>
      <c r="G73" s="332"/>
      <c r="H73" s="332"/>
      <c r="I73" s="332"/>
      <c r="J73" s="332"/>
      <c r="K73" s="332"/>
      <c r="L73" s="332"/>
      <c r="M73" s="332"/>
      <c r="N73" s="333"/>
    </row>
    <row r="74" spans="2:14" ht="17.55" customHeight="1" x14ac:dyDescent="0.3">
      <c r="B74" s="144"/>
      <c r="C74" s="326" t="s">
        <v>56</v>
      </c>
      <c r="E74" s="34" t="s">
        <v>54</v>
      </c>
      <c r="F74" s="343" t="str">
        <f>IF(L66&gt;=100000,"You may have triggered the energy reporting threshold for this facility. Please contact the Clean Energy Regulator",IF(L66&gt;90000, "You are close to the energy reporting threshold for this facility. Please contact the Clean Energy Regulator",""))</f>
        <v/>
      </c>
      <c r="G74" s="343"/>
      <c r="H74" s="343"/>
      <c r="I74" s="343"/>
      <c r="J74" s="343"/>
      <c r="K74" s="343"/>
      <c r="L74" s="343"/>
      <c r="M74" s="343"/>
      <c r="N74" s="35" t="s">
        <v>55</v>
      </c>
    </row>
    <row r="75" spans="2:14" ht="17.55" customHeight="1" x14ac:dyDescent="0.3">
      <c r="B75" s="149"/>
      <c r="C75" s="328"/>
      <c r="D75" s="150"/>
      <c r="E75" s="334">
        <f>L66</f>
        <v>0</v>
      </c>
      <c r="F75" s="334"/>
      <c r="G75" s="334"/>
      <c r="H75" s="334"/>
      <c r="I75" s="334"/>
      <c r="J75" s="334"/>
      <c r="K75" s="334"/>
      <c r="L75" s="334"/>
      <c r="M75" s="334"/>
      <c r="N75" s="335"/>
    </row>
    <row r="76" spans="2:14" ht="17.55" hidden="1" customHeight="1" x14ac:dyDescent="0.3"/>
    <row r="77" spans="2:14" ht="17.55" hidden="1" customHeight="1" x14ac:dyDescent="0.3"/>
    <row r="78" spans="2:14" ht="17.55" hidden="1" customHeight="1" x14ac:dyDescent="0.3"/>
    <row r="79" spans="2:14" ht="17.55" hidden="1" customHeight="1" x14ac:dyDescent="0.3"/>
    <row r="80" spans="2:14" ht="17.55" hidden="1" customHeight="1" x14ac:dyDescent="0.3"/>
    <row r="81" ht="17.55" hidden="1" customHeight="1" x14ac:dyDescent="0.3"/>
    <row r="82" ht="17.55" hidden="1" customHeight="1" x14ac:dyDescent="0.3"/>
    <row r="83" ht="17.55" hidden="1" customHeight="1" x14ac:dyDescent="0.3"/>
    <row r="84" ht="17.55" hidden="1" customHeight="1" x14ac:dyDescent="0.3"/>
    <row r="85" ht="17.55" hidden="1" customHeight="1" x14ac:dyDescent="0.3"/>
    <row r="86" ht="17.55" hidden="1" customHeight="1" x14ac:dyDescent="0.3"/>
    <row r="87" ht="17.55" hidden="1" customHeight="1" x14ac:dyDescent="0.3"/>
    <row r="88" ht="17.55" hidden="1" customHeight="1" x14ac:dyDescent="0.3"/>
    <row r="89" ht="17.55" hidden="1" customHeight="1" x14ac:dyDescent="0.3"/>
    <row r="90" ht="17.55" hidden="1" customHeight="1" x14ac:dyDescent="0.3"/>
    <row r="91" ht="17.55" hidden="1" customHeight="1" x14ac:dyDescent="0.3"/>
    <row r="92" ht="17.55" hidden="1" customHeight="1" x14ac:dyDescent="0.3"/>
    <row r="93" ht="17.55" hidden="1" customHeight="1" x14ac:dyDescent="0.3"/>
    <row r="94" ht="17.55" hidden="1" customHeight="1" x14ac:dyDescent="0.3"/>
    <row r="95" ht="17.55" hidden="1" customHeight="1" x14ac:dyDescent="0.3"/>
    <row r="96" ht="17.55" hidden="1" customHeight="1" x14ac:dyDescent="0.3"/>
    <row r="97" ht="17.55" hidden="1" customHeight="1" x14ac:dyDescent="0.3"/>
    <row r="98" ht="17.55" hidden="1" customHeight="1" x14ac:dyDescent="0.3"/>
  </sheetData>
  <sheetProtection algorithmName="SHA-256" hashValue="AZbrwISSh3TVe0nPXCTBCGVvS7tM1N6AWsumEhuSxeA=" saltValue="KZi7PDXC0MmcDvmCLbAwrg==" spinCount="100000" sheet="1" selectLockedCells="1"/>
  <mergeCells count="55">
    <mergeCell ref="C74:C75"/>
    <mergeCell ref="C68:N69"/>
    <mergeCell ref="D62:E62"/>
    <mergeCell ref="D63:E63"/>
    <mergeCell ref="E73:N73"/>
    <mergeCell ref="E75:N75"/>
    <mergeCell ref="F70:M70"/>
    <mergeCell ref="E71:N71"/>
    <mergeCell ref="D64:E64"/>
    <mergeCell ref="D65:E65"/>
    <mergeCell ref="D66:E66"/>
    <mergeCell ref="F72:M72"/>
    <mergeCell ref="F74:M74"/>
    <mergeCell ref="C60:C61"/>
    <mergeCell ref="J50:K50"/>
    <mergeCell ref="G51:L51"/>
    <mergeCell ref="C70:C71"/>
    <mergeCell ref="C72:C73"/>
    <mergeCell ref="D60:G61"/>
    <mergeCell ref="L60:M61"/>
    <mergeCell ref="C53:C54"/>
    <mergeCell ref="E53:E54"/>
    <mergeCell ref="G53:G54"/>
    <mergeCell ref="I53:K53"/>
    <mergeCell ref="G58:L58"/>
    <mergeCell ref="J4:L4"/>
    <mergeCell ref="J42:K42"/>
    <mergeCell ref="C45:C46"/>
    <mergeCell ref="E45:E46"/>
    <mergeCell ref="G45:G46"/>
    <mergeCell ref="I45:K45"/>
    <mergeCell ref="G43:L43"/>
    <mergeCell ref="G35:L35"/>
    <mergeCell ref="C37:C38"/>
    <mergeCell ref="E37:E38"/>
    <mergeCell ref="G37:G38"/>
    <mergeCell ref="I37:K37"/>
    <mergeCell ref="J34:L34"/>
    <mergeCell ref="J33:L33"/>
    <mergeCell ref="C2:N2"/>
    <mergeCell ref="G16:L16"/>
    <mergeCell ref="C30:C31"/>
    <mergeCell ref="E30:E31"/>
    <mergeCell ref="G30:G31"/>
    <mergeCell ref="I30:K30"/>
    <mergeCell ref="C18:C19"/>
    <mergeCell ref="E18:E19"/>
    <mergeCell ref="G18:G19"/>
    <mergeCell ref="I18:K18"/>
    <mergeCell ref="G28:L28"/>
    <mergeCell ref="I6:K6"/>
    <mergeCell ref="C6:C7"/>
    <mergeCell ref="E6:E7"/>
    <mergeCell ref="G6:G7"/>
    <mergeCell ref="E4:H4"/>
  </mergeCells>
  <phoneticPr fontId="4" type="noConversion"/>
  <conditionalFormatting sqref="E71:N71">
    <cfRule type="dataBar" priority="11">
      <dataBar>
        <cfvo type="num" val="0"/>
        <cfvo type="num" val="25000"/>
        <color rgb="FF638EC6"/>
      </dataBar>
      <extLst>
        <ext xmlns:x14="http://schemas.microsoft.com/office/spreadsheetml/2009/9/main" uri="{B025F937-C7B1-47D3-B67F-A62EFF666E3E}">
          <x14:id>{A1501B2E-7C96-45C1-AB64-6CD6CA7275A7}</x14:id>
        </ext>
      </extLst>
    </cfRule>
  </conditionalFormatting>
  <conditionalFormatting sqref="E73:N73">
    <cfRule type="dataBar" priority="10">
      <dataBar>
        <cfvo type="num" val="0"/>
        <cfvo type="num" val="100000"/>
        <color rgb="FF638EC6"/>
      </dataBar>
      <extLst>
        <ext xmlns:x14="http://schemas.microsoft.com/office/spreadsheetml/2009/9/main" uri="{B025F937-C7B1-47D3-B67F-A62EFF666E3E}">
          <x14:id>{C04A862B-9DC8-45F8-B120-8179F234EBBE}</x14:id>
        </ext>
      </extLst>
    </cfRule>
  </conditionalFormatting>
  <conditionalFormatting sqref="E75:N75">
    <cfRule type="dataBar" priority="9">
      <dataBar>
        <cfvo type="num" val="0"/>
        <cfvo type="num" val="100000"/>
        <color rgb="FF638EC6"/>
      </dataBar>
      <extLst>
        <ext xmlns:x14="http://schemas.microsoft.com/office/spreadsheetml/2009/9/main" uri="{B025F937-C7B1-47D3-B67F-A62EFF666E3E}">
          <x14:id>{D9641068-54A6-4359-8F74-CEFA185A2AC8}</x14:id>
        </ext>
      </extLst>
    </cfRule>
  </conditionalFormatting>
  <conditionalFormatting sqref="G64:I64 G62:G63">
    <cfRule type="dataBar" priority="14">
      <dataBar>
        <cfvo type="min"/>
        <cfvo type="max"/>
        <color rgb="FF638EC6"/>
      </dataBar>
      <extLst>
        <ext xmlns:x14="http://schemas.microsoft.com/office/spreadsheetml/2009/9/main" uri="{B025F937-C7B1-47D3-B67F-A62EFF666E3E}">
          <x14:id>{A10BA0FD-00F1-42A8-B57F-0B84190D514F}</x14:id>
        </ext>
      </extLst>
    </cfRule>
  </conditionalFormatting>
  <conditionalFormatting sqref="G21:N27">
    <cfRule type="cellIs" dxfId="88" priority="8" operator="equal">
      <formula>0</formula>
    </cfRule>
  </conditionalFormatting>
  <conditionalFormatting sqref="H40:N42">
    <cfRule type="cellIs" dxfId="87" priority="7" operator="equal">
      <formula>0</formula>
    </cfRule>
  </conditionalFormatting>
  <conditionalFormatting sqref="H48:N50">
    <cfRule type="cellIs" dxfId="86" priority="6" operator="equal">
      <formula>0</formula>
    </cfRule>
  </conditionalFormatting>
  <conditionalFormatting sqref="I33:I34 I41">
    <cfRule type="cellIs" dxfId="85" priority="39" operator="equal">
      <formula>0.64</formula>
    </cfRule>
  </conditionalFormatting>
  <conditionalFormatting sqref="I33:J34 M33:N34 I41:M41 C65">
    <cfRule type="cellIs" dxfId="84" priority="35" operator="equal">
      <formula>0</formula>
    </cfRule>
  </conditionalFormatting>
  <conditionalFormatting sqref="I49:M49">
    <cfRule type="aboveAverage" dxfId="83" priority="23"/>
  </conditionalFormatting>
  <conditionalFormatting sqref="I9:N15">
    <cfRule type="cellIs" dxfId="82" priority="12" operator="equal">
      <formula>0</formula>
    </cfRule>
  </conditionalFormatting>
  <conditionalFormatting sqref="I40:N40 N41:N42 J42 L42:M42">
    <cfRule type="cellIs" dxfId="81" priority="26" operator="equal">
      <formula>0</formula>
    </cfRule>
  </conditionalFormatting>
  <conditionalFormatting sqref="I48:N48 N49:N50 J50 L50:M50">
    <cfRule type="cellIs" dxfId="80" priority="21" operator="equal">
      <formula>0</formula>
    </cfRule>
  </conditionalFormatting>
  <conditionalFormatting sqref="L57 N57">
    <cfRule type="cellIs" dxfId="79"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{A5C47AD5-09AE-45FB-8444-191445B01034}</x14:id>
        </ext>
      </extLst>
    </cfRule>
  </conditionalFormatting>
  <conditionalFormatting sqref="N4">
    <cfRule type="expression" dxfId="78" priority="4">
      <formula>M4="No specific period"</formula>
    </cfRule>
    <cfRule type="cellIs" dxfId="77" priority="5" operator="equal">
      <formula>"# of days?"</formula>
    </cfRule>
  </conditionalFormatting>
  <dataValidations count="1">
    <dataValidation type="list" allowBlank="1" showInputMessage="1" showErrorMessage="1" sqref="M4" xr:uid="{00000000-0002-0000-01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A1501B2E-7C96-45C1-AB64-6CD6CA7275A7}">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04A862B-9DC8-45F8-B120-8179F234EBBE}">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D9641068-54A6-4359-8F74-CEFA185A2AC8}">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A10BA0FD-00F1-42A8-B57F-0B84190D514F}">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A5C47AD5-09AE-45FB-8444-191445B0103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'Calculation engine'!$Q$10:$Q$19</xm:f>
          </x14:formula1>
          <xm:sqref>C33:C34</xm:sqref>
        </x14:dataValidation>
        <x14:dataValidation type="list" allowBlank="1" showInputMessage="1" showErrorMessage="1" xr:uid="{00000000-0002-0000-0100-000001000000}">
          <x14:formula1>
            <xm:f>'Calculation engine'!$B$8:$B$35</xm:f>
          </x14:formula1>
          <xm:sqref>C9:C15</xm:sqref>
        </x14:dataValidation>
        <x14:dataValidation type="list" allowBlank="1" showInputMessage="1" showErrorMessage="1" xr:uid="{00000000-0002-0000-0100-000002000000}">
          <x14:formula1>
            <xm:f>'Calculation engine'!$I$8:$I$68</xm:f>
          </x14:formula1>
          <xm:sqref>C21:C27</xm:sqref>
        </x14:dataValidation>
        <x14:dataValidation type="list" allowBlank="1" showInputMessage="1" showErrorMessage="1" xr:uid="{00000000-0002-0000-0100-000005000000}">
          <x14:formula1>
            <xm:f>'Calculation engine'!$W$8:$W$78</xm:f>
          </x14:formula1>
          <xm:sqref>C48:C50</xm:sqref>
        </x14:dataValidation>
        <x14:dataValidation type="list" allowBlank="1" showInputMessage="1" showErrorMessage="1" xr:uid="{00000000-0002-0000-0100-000004000000}">
          <x14:formula1>
            <xm:f>'Calculation engine'!$AD$8:$AD$84</xm:f>
          </x14:formula1>
          <xm:sqref>C40:C42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98"/>
  <sheetViews>
    <sheetView showRowColHeaders="0" zoomScaleNormal="100" workbookViewId="0">
      <selection activeCell="E4" sqref="E4:H4"/>
    </sheetView>
  </sheetViews>
  <sheetFormatPr defaultColWidth="0" defaultRowHeight="15" customHeight="1" zeroHeight="1" x14ac:dyDescent="0.3"/>
  <cols>
    <col min="1" max="2" width="4" style="2" customWidth="1"/>
    <col min="3" max="3" width="67.5546875" style="2" customWidth="1"/>
    <col min="4" max="4" width="3.44140625" style="2" customWidth="1"/>
    <col min="5" max="5" width="19.5546875" style="2" customWidth="1"/>
    <col min="6" max="6" width="3.5546875" style="2" customWidth="1"/>
    <col min="7" max="8" width="9.21875" style="2" customWidth="1"/>
    <col min="9" max="9" width="13.5546875" style="2" customWidth="1"/>
    <col min="10" max="10" width="12.21875" style="2" customWidth="1"/>
    <col min="11" max="11" width="11.77734375" style="2" customWidth="1"/>
    <col min="12" max="12" width="22.5546875" style="2" customWidth="1"/>
    <col min="13" max="13" width="23.77734375" style="2" customWidth="1"/>
    <col min="14" max="14" width="27.44140625" style="2" customWidth="1"/>
    <col min="15" max="15" width="4.5546875" style="2" hidden="1" customWidth="1"/>
    <col min="16" max="20" width="0" style="2" hidden="1" customWidth="1"/>
    <col min="21" max="16384" width="9.21875" style="2" hidden="1"/>
  </cols>
  <sheetData>
    <row r="1" spans="2:20" ht="203.25" customHeight="1" x14ac:dyDescent="0.3"/>
    <row r="2" spans="2:20" ht="33" customHeight="1" x14ac:dyDescent="0.3">
      <c r="B2" s="181"/>
      <c r="C2" s="311" t="s">
        <v>351</v>
      </c>
      <c r="D2" s="311"/>
      <c r="E2" s="311"/>
      <c r="F2" s="311"/>
      <c r="G2" s="311"/>
      <c r="H2" s="311"/>
      <c r="I2" s="311"/>
      <c r="J2" s="311"/>
      <c r="K2" s="311"/>
      <c r="L2" s="311"/>
      <c r="M2" s="311"/>
      <c r="N2" s="311"/>
    </row>
    <row r="3" spans="2:20" ht="15" customHeight="1" x14ac:dyDescent="0.3">
      <c r="B3" s="151"/>
      <c r="C3" s="151"/>
      <c r="D3" s="151"/>
      <c r="E3" s="151"/>
      <c r="F3" s="151"/>
      <c r="G3" s="151"/>
      <c r="H3" s="151"/>
      <c r="I3" s="151"/>
      <c r="J3" s="151"/>
      <c r="K3" s="151"/>
      <c r="L3" s="151"/>
      <c r="M3" s="151"/>
      <c r="N3" s="20" t="str">
        <f>IF(M4="Part year","Enter days below","")</f>
        <v/>
      </c>
      <c r="Q3" s="2" t="s">
        <v>1</v>
      </c>
    </row>
    <row r="4" spans="2:20" ht="15" customHeight="1" x14ac:dyDescent="0.3">
      <c r="B4" s="181"/>
      <c r="C4" s="201" t="s">
        <v>2</v>
      </c>
      <c r="D4" s="151"/>
      <c r="E4" s="318"/>
      <c r="F4" s="319"/>
      <c r="G4" s="319"/>
      <c r="H4" s="320"/>
      <c r="I4" s="151"/>
      <c r="J4" s="316" t="s">
        <v>3</v>
      </c>
      <c r="K4" s="321"/>
      <c r="L4" s="321"/>
      <c r="M4" s="66" t="s">
        <v>1</v>
      </c>
      <c r="N4" s="66">
        <f>IF(M4="Full year",365,"")</f>
        <v>365</v>
      </c>
      <c r="Q4" s="2" t="s">
        <v>4</v>
      </c>
    </row>
    <row r="5" spans="2:20" ht="14.4" x14ac:dyDescent="0.3"/>
    <row r="6" spans="2:20" ht="15" customHeight="1" x14ac:dyDescent="0.3">
      <c r="B6" s="126"/>
      <c r="C6" s="313" t="s">
        <v>352</v>
      </c>
      <c r="D6" s="202"/>
      <c r="E6" s="315" t="s">
        <v>5</v>
      </c>
      <c r="F6" s="202"/>
      <c r="G6" s="315" t="s">
        <v>6</v>
      </c>
      <c r="H6" s="152"/>
      <c r="I6" s="317" t="s">
        <v>7</v>
      </c>
      <c r="J6" s="317"/>
      <c r="K6" s="317"/>
      <c r="L6" s="152"/>
      <c r="M6" s="202" t="s">
        <v>8</v>
      </c>
      <c r="N6" s="63" t="s">
        <v>9</v>
      </c>
      <c r="Q6" s="2" t="s">
        <v>10</v>
      </c>
    </row>
    <row r="7" spans="2:20" ht="14.25" customHeight="1" x14ac:dyDescent="0.3">
      <c r="B7" s="153"/>
      <c r="C7" s="314"/>
      <c r="D7" s="201"/>
      <c r="E7" s="316"/>
      <c r="F7" s="201"/>
      <c r="G7" s="316"/>
      <c r="H7" s="26"/>
      <c r="I7" s="1" t="s">
        <v>11</v>
      </c>
      <c r="J7" s="1" t="s">
        <v>12</v>
      </c>
      <c r="K7" s="1" t="s">
        <v>13</v>
      </c>
      <c r="L7" s="201"/>
      <c r="M7" s="1" t="s">
        <v>14</v>
      </c>
      <c r="N7" s="154" t="s">
        <v>15</v>
      </c>
    </row>
    <row r="8" spans="2:20" ht="14.4" x14ac:dyDescent="0.3">
      <c r="B8" s="155"/>
      <c r="C8" s="138" t="s">
        <v>16</v>
      </c>
      <c r="D8" s="138"/>
      <c r="E8" s="138" t="s">
        <v>17</v>
      </c>
      <c r="F8" s="138"/>
      <c r="G8" s="138"/>
      <c r="H8" s="137"/>
      <c r="I8" s="137"/>
      <c r="J8" s="137"/>
      <c r="K8" s="137"/>
      <c r="L8" s="137"/>
      <c r="M8" s="137"/>
      <c r="N8" s="157"/>
      <c r="Q8" s="8" t="s">
        <v>18</v>
      </c>
      <c r="R8" s="8" t="s">
        <v>19</v>
      </c>
      <c r="S8" s="8" t="s">
        <v>20</v>
      </c>
      <c r="T8" s="8" t="s">
        <v>21</v>
      </c>
    </row>
    <row r="9" spans="2:20" ht="15" customHeight="1" x14ac:dyDescent="0.3">
      <c r="B9" s="155"/>
      <c r="C9" s="136" t="s">
        <v>22</v>
      </c>
      <c r="D9" s="137"/>
      <c r="E9" s="295"/>
      <c r="F9" s="138"/>
      <c r="G9" s="20" t="str">
        <f>VLOOKUP($C9,'Calculation engine'!$B$8:$G$35,6,FALSE)</f>
        <v>-</v>
      </c>
      <c r="H9" s="139"/>
      <c r="I9" s="248">
        <f>Q9*$N9/1000</f>
        <v>0</v>
      </c>
      <c r="J9" s="248">
        <f>R9*$N9/1000</f>
        <v>0</v>
      </c>
      <c r="K9" s="248">
        <f>S9*$N9/1000</f>
        <v>0</v>
      </c>
      <c r="L9" s="203"/>
      <c r="M9" s="248">
        <f>SUM(I9:K9)</f>
        <v>0</v>
      </c>
      <c r="N9" s="249">
        <f>T9*E9</f>
        <v>0</v>
      </c>
      <c r="Q9" s="8">
        <f>VLOOKUP($C9,'Calculation engine'!$B$8:$G$35,3,FALSE)</f>
        <v>0</v>
      </c>
      <c r="R9" s="8">
        <f>VLOOKUP($C9,'Calculation engine'!$B$8:$G$35,4,FALSE)</f>
        <v>0</v>
      </c>
      <c r="S9" s="8">
        <f>VLOOKUP($C9,'Calculation engine'!$B$8:$G$35,5,FALSE)</f>
        <v>0</v>
      </c>
      <c r="T9" s="8">
        <f>VLOOKUP($C9,'Calculation engine'!$B$8:$G$35,2,FALSE)</f>
        <v>0</v>
      </c>
    </row>
    <row r="10" spans="2:20" ht="15" customHeight="1" x14ac:dyDescent="0.3">
      <c r="B10" s="155"/>
      <c r="C10" s="136" t="s">
        <v>22</v>
      </c>
      <c r="D10" s="137"/>
      <c r="E10" s="306"/>
      <c r="F10" s="138"/>
      <c r="G10" s="20" t="str">
        <f>VLOOKUP($C10,'Calculation engine'!$B$8:$G$35,6,FALSE)</f>
        <v>-</v>
      </c>
      <c r="H10" s="139"/>
      <c r="I10" s="248">
        <f t="shared" ref="I10:K15" si="0">Q10*$N10/1000</f>
        <v>0</v>
      </c>
      <c r="J10" s="248">
        <f t="shared" si="0"/>
        <v>0</v>
      </c>
      <c r="K10" s="248">
        <f t="shared" si="0"/>
        <v>0</v>
      </c>
      <c r="L10" s="203"/>
      <c r="M10" s="248">
        <f t="shared" ref="M10:M15" si="1">SUM(I10:K10)</f>
        <v>0</v>
      </c>
      <c r="N10" s="249">
        <f t="shared" ref="N10:N15" si="2">T10*E10</f>
        <v>0</v>
      </c>
      <c r="Q10" s="8">
        <f>VLOOKUP($C10,'Calculation engine'!$B$8:$G$35,3,FALSE)</f>
        <v>0</v>
      </c>
      <c r="R10" s="8">
        <f>VLOOKUP($C10,'Calculation engine'!$B$8:$G$35,4,FALSE)</f>
        <v>0</v>
      </c>
      <c r="S10" s="8">
        <f>VLOOKUP($C10,'Calculation engine'!$B$8:$G$35,5,FALSE)</f>
        <v>0</v>
      </c>
      <c r="T10" s="8">
        <f>VLOOKUP($C10,'Calculation engine'!$B$8:$G$35,2,FALSE)</f>
        <v>0</v>
      </c>
    </row>
    <row r="11" spans="2:20" ht="15" customHeight="1" x14ac:dyDescent="0.3">
      <c r="B11" s="155"/>
      <c r="C11" s="136" t="s">
        <v>22</v>
      </c>
      <c r="D11" s="137"/>
      <c r="E11" s="306"/>
      <c r="F11" s="138"/>
      <c r="G11" s="20" t="str">
        <f>VLOOKUP($C11,'Calculation engine'!$B$8:$G$35,6,FALSE)</f>
        <v>-</v>
      </c>
      <c r="H11" s="139"/>
      <c r="I11" s="248">
        <f t="shared" si="0"/>
        <v>0</v>
      </c>
      <c r="J11" s="248">
        <f t="shared" si="0"/>
        <v>0</v>
      </c>
      <c r="K11" s="248">
        <f t="shared" si="0"/>
        <v>0</v>
      </c>
      <c r="L11" s="203"/>
      <c r="M11" s="248">
        <f>SUM(I11:K11)</f>
        <v>0</v>
      </c>
      <c r="N11" s="249">
        <f>T11*E11</f>
        <v>0</v>
      </c>
      <c r="Q11" s="8">
        <f>VLOOKUP($C11,'Calculation engine'!$B$8:$G$35,3,FALSE)</f>
        <v>0</v>
      </c>
      <c r="R11" s="8">
        <f>VLOOKUP($C11,'Calculation engine'!$B$8:$G$35,4,FALSE)</f>
        <v>0</v>
      </c>
      <c r="S11" s="8">
        <f>VLOOKUP($C11,'Calculation engine'!$B$8:$G$35,5,FALSE)</f>
        <v>0</v>
      </c>
      <c r="T11" s="8">
        <f>VLOOKUP($C11,'Calculation engine'!$B$8:$G$35,2,FALSE)</f>
        <v>0</v>
      </c>
    </row>
    <row r="12" spans="2:20" ht="15" customHeight="1" x14ac:dyDescent="0.3">
      <c r="B12" s="155"/>
      <c r="C12" s="136" t="s">
        <v>22</v>
      </c>
      <c r="D12" s="137"/>
      <c r="E12" s="306"/>
      <c r="F12" s="138"/>
      <c r="G12" s="20" t="str">
        <f>VLOOKUP($C12,'Calculation engine'!$B$8:$G$35,6,FALSE)</f>
        <v>-</v>
      </c>
      <c r="H12" s="139"/>
      <c r="I12" s="248">
        <f t="shared" si="0"/>
        <v>0</v>
      </c>
      <c r="J12" s="248">
        <f t="shared" si="0"/>
        <v>0</v>
      </c>
      <c r="K12" s="248">
        <f t="shared" si="0"/>
        <v>0</v>
      </c>
      <c r="L12" s="203"/>
      <c r="M12" s="248">
        <f>SUM(I12:K12)</f>
        <v>0</v>
      </c>
      <c r="N12" s="249">
        <f>T12*E12</f>
        <v>0</v>
      </c>
      <c r="Q12" s="8">
        <f>VLOOKUP($C12,'Calculation engine'!$B$8:$G$35,3,FALSE)</f>
        <v>0</v>
      </c>
      <c r="R12" s="8">
        <f>VLOOKUP($C12,'Calculation engine'!$B$8:$G$35,4,FALSE)</f>
        <v>0</v>
      </c>
      <c r="S12" s="8">
        <f>VLOOKUP($C12,'Calculation engine'!$B$8:$G$35,5,FALSE)</f>
        <v>0</v>
      </c>
      <c r="T12" s="8">
        <f>VLOOKUP($C12,'Calculation engine'!$B$8:$G$35,2,FALSE)</f>
        <v>0</v>
      </c>
    </row>
    <row r="13" spans="2:20" ht="15" customHeight="1" x14ac:dyDescent="0.3">
      <c r="B13" s="155"/>
      <c r="C13" s="136" t="s">
        <v>22</v>
      </c>
      <c r="D13" s="137"/>
      <c r="E13" s="306"/>
      <c r="F13" s="138"/>
      <c r="G13" s="20" t="str">
        <f>VLOOKUP($C13,'Calculation engine'!$B$8:$G$35,6,FALSE)</f>
        <v>-</v>
      </c>
      <c r="H13" s="139"/>
      <c r="I13" s="248">
        <f t="shared" si="0"/>
        <v>0</v>
      </c>
      <c r="J13" s="248">
        <f t="shared" si="0"/>
        <v>0</v>
      </c>
      <c r="K13" s="248">
        <f t="shared" si="0"/>
        <v>0</v>
      </c>
      <c r="L13" s="203"/>
      <c r="M13" s="248">
        <f>SUM(I13:K13)</f>
        <v>0</v>
      </c>
      <c r="N13" s="249">
        <f>T13*E13</f>
        <v>0</v>
      </c>
      <c r="Q13" s="8">
        <f>VLOOKUP($C13,'Calculation engine'!$B$8:$G$35,3,FALSE)</f>
        <v>0</v>
      </c>
      <c r="R13" s="8">
        <f>VLOOKUP($C13,'Calculation engine'!$B$8:$G$35,4,FALSE)</f>
        <v>0</v>
      </c>
      <c r="S13" s="8">
        <f>VLOOKUP($C13,'Calculation engine'!$B$8:$G$35,5,FALSE)</f>
        <v>0</v>
      </c>
      <c r="T13" s="8">
        <f>VLOOKUP($C13,'Calculation engine'!$B$8:$G$35,2,FALSE)</f>
        <v>0</v>
      </c>
    </row>
    <row r="14" spans="2:20" ht="15" customHeight="1" x14ac:dyDescent="0.3">
      <c r="B14" s="155"/>
      <c r="C14" s="136" t="s">
        <v>22</v>
      </c>
      <c r="D14" s="137"/>
      <c r="E14" s="306"/>
      <c r="F14" s="138"/>
      <c r="G14" s="20" t="str">
        <f>VLOOKUP($C14,'Calculation engine'!$B$8:$G$35,6,FALSE)</f>
        <v>-</v>
      </c>
      <c r="H14" s="139"/>
      <c r="I14" s="248">
        <f t="shared" si="0"/>
        <v>0</v>
      </c>
      <c r="J14" s="248">
        <f t="shared" si="0"/>
        <v>0</v>
      </c>
      <c r="K14" s="248">
        <f t="shared" si="0"/>
        <v>0</v>
      </c>
      <c r="L14" s="203"/>
      <c r="M14" s="248">
        <f t="shared" si="1"/>
        <v>0</v>
      </c>
      <c r="N14" s="249">
        <f t="shared" si="2"/>
        <v>0</v>
      </c>
      <c r="Q14" s="8">
        <f>VLOOKUP($C14,'Calculation engine'!$B$8:$G$35,3,FALSE)</f>
        <v>0</v>
      </c>
      <c r="R14" s="8">
        <f>VLOOKUP($C14,'Calculation engine'!$B$8:$G$35,4,FALSE)</f>
        <v>0</v>
      </c>
      <c r="S14" s="8">
        <f>VLOOKUP($C14,'Calculation engine'!$B$8:$G$35,5,FALSE)</f>
        <v>0</v>
      </c>
      <c r="T14" s="8">
        <f>VLOOKUP($C14,'Calculation engine'!$B$8:$G$35,2,FALSE)</f>
        <v>0</v>
      </c>
    </row>
    <row r="15" spans="2:20" ht="15" customHeight="1" x14ac:dyDescent="0.3">
      <c r="B15" s="155"/>
      <c r="C15" s="136" t="s">
        <v>22</v>
      </c>
      <c r="D15" s="137"/>
      <c r="E15" s="306"/>
      <c r="F15" s="138"/>
      <c r="G15" s="20" t="str">
        <f>VLOOKUP($C15,'Calculation engine'!$B$8:$G$35,6,FALSE)</f>
        <v>-</v>
      </c>
      <c r="H15" s="139"/>
      <c r="I15" s="248">
        <f t="shared" si="0"/>
        <v>0</v>
      </c>
      <c r="J15" s="248">
        <f t="shared" si="0"/>
        <v>0</v>
      </c>
      <c r="K15" s="248">
        <f t="shared" si="0"/>
        <v>0</v>
      </c>
      <c r="L15" s="203"/>
      <c r="M15" s="248">
        <f t="shared" si="1"/>
        <v>0</v>
      </c>
      <c r="N15" s="249">
        <f t="shared" si="2"/>
        <v>0</v>
      </c>
      <c r="Q15" s="8">
        <f>VLOOKUP($C15,'Calculation engine'!$B$8:$G$35,3,FALSE)</f>
        <v>0</v>
      </c>
      <c r="R15" s="8">
        <f>VLOOKUP($C15,'Calculation engine'!$B$8:$G$35,4,FALSE)</f>
        <v>0</v>
      </c>
      <c r="S15" s="8">
        <f>VLOOKUP($C15,'Calculation engine'!$B$8:$G$35,5,FALSE)</f>
        <v>0</v>
      </c>
      <c r="T15" s="8">
        <f>VLOOKUP($C15,'Calculation engine'!$B$8:$G$35,2,FALSE)</f>
        <v>0</v>
      </c>
    </row>
    <row r="16" spans="2:20" ht="15" customHeight="1" x14ac:dyDescent="0.3">
      <c r="B16" s="158"/>
      <c r="C16" s="141"/>
      <c r="D16" s="141"/>
      <c r="E16" s="142"/>
      <c r="F16" s="142"/>
      <c r="G16" s="312" t="s">
        <v>23</v>
      </c>
      <c r="H16" s="312"/>
      <c r="I16" s="312"/>
      <c r="J16" s="312"/>
      <c r="K16" s="312"/>
      <c r="L16" s="312"/>
      <c r="M16" s="250">
        <f>SUM(M9:M15)</f>
        <v>0</v>
      </c>
      <c r="N16" s="251">
        <f>SUM(N9:N15)</f>
        <v>0</v>
      </c>
    </row>
    <row r="17" spans="2:20" ht="15" customHeight="1" x14ac:dyDescent="0.3">
      <c r="E17" s="20"/>
      <c r="F17" s="20"/>
      <c r="G17" s="20"/>
    </row>
    <row r="18" spans="2:20" ht="15" customHeight="1" x14ac:dyDescent="0.3">
      <c r="B18" s="126"/>
      <c r="C18" s="313" t="s">
        <v>353</v>
      </c>
      <c r="D18" s="202"/>
      <c r="E18" s="315" t="s">
        <v>5</v>
      </c>
      <c r="F18" s="202"/>
      <c r="G18" s="315" t="s">
        <v>6</v>
      </c>
      <c r="H18" s="152"/>
      <c r="I18" s="317" t="s">
        <v>24</v>
      </c>
      <c r="J18" s="317"/>
      <c r="K18" s="317"/>
      <c r="L18" s="152"/>
      <c r="M18" s="202" t="s">
        <v>8</v>
      </c>
      <c r="N18" s="63" t="s">
        <v>9</v>
      </c>
    </row>
    <row r="19" spans="2:20" ht="15.75" customHeight="1" x14ac:dyDescent="0.3">
      <c r="B19" s="153"/>
      <c r="C19" s="314"/>
      <c r="D19" s="201"/>
      <c r="E19" s="316"/>
      <c r="F19" s="201"/>
      <c r="G19" s="316"/>
      <c r="H19" s="26"/>
      <c r="I19" s="1" t="s">
        <v>11</v>
      </c>
      <c r="J19" s="1" t="s">
        <v>12</v>
      </c>
      <c r="K19" s="1" t="s">
        <v>13</v>
      </c>
      <c r="L19" s="201"/>
      <c r="M19" s="1" t="s">
        <v>14</v>
      </c>
      <c r="N19" s="154" t="s">
        <v>15</v>
      </c>
    </row>
    <row r="20" spans="2:20" ht="15" customHeight="1" x14ac:dyDescent="0.3">
      <c r="B20" s="155"/>
      <c r="C20" s="138" t="s">
        <v>16</v>
      </c>
      <c r="D20" s="138"/>
      <c r="E20" s="138" t="s">
        <v>17</v>
      </c>
      <c r="F20" s="138"/>
      <c r="G20" s="138"/>
      <c r="H20" s="137"/>
      <c r="I20" s="137"/>
      <c r="J20" s="137"/>
      <c r="K20" s="137"/>
      <c r="L20" s="137"/>
      <c r="M20" s="137"/>
      <c r="N20" s="157"/>
      <c r="Q20" s="8" t="s">
        <v>18</v>
      </c>
      <c r="R20" s="8" t="s">
        <v>19</v>
      </c>
      <c r="S20" s="8" t="s">
        <v>20</v>
      </c>
      <c r="T20" s="8" t="s">
        <v>21</v>
      </c>
    </row>
    <row r="21" spans="2:20" ht="15" customHeight="1" x14ac:dyDescent="0.3">
      <c r="B21" s="155"/>
      <c r="C21" s="136" t="s">
        <v>22</v>
      </c>
      <c r="D21" s="137"/>
      <c r="E21" s="295"/>
      <c r="F21" s="138"/>
      <c r="G21" s="20" t="str">
        <f>VLOOKUP($C21,'Calculation engine'!$I$8:$N$68,6,FALSE)</f>
        <v>-</v>
      </c>
      <c r="H21" s="139"/>
      <c r="I21" s="248">
        <f t="shared" ref="I21:K27" si="3">Q21*$N21/1000</f>
        <v>0</v>
      </c>
      <c r="J21" s="248">
        <f t="shared" si="3"/>
        <v>0</v>
      </c>
      <c r="K21" s="248">
        <f t="shared" si="3"/>
        <v>0</v>
      </c>
      <c r="L21" s="203"/>
      <c r="M21" s="248">
        <f t="shared" ref="M21:M27" si="4">SUM(I21:K21)</f>
        <v>0</v>
      </c>
      <c r="N21" s="249">
        <f t="shared" ref="N21:N27" si="5">T21*E21</f>
        <v>0</v>
      </c>
      <c r="Q21" s="8">
        <f>VLOOKUP($C21,'Calculation engine'!$I$8:$N$68,3,FALSE)</f>
        <v>0</v>
      </c>
      <c r="R21" s="8">
        <f>VLOOKUP($C21,'Calculation engine'!$I$8:$N$68,4,FALSE)</f>
        <v>0</v>
      </c>
      <c r="S21" s="8">
        <f>VLOOKUP($C21,'Calculation engine'!$I$8:$N$68,5,FALSE)</f>
        <v>0</v>
      </c>
      <c r="T21" s="8">
        <f>VLOOKUP($C21,'Calculation engine'!$I$8:$N$68,2,FALSE)</f>
        <v>0</v>
      </c>
    </row>
    <row r="22" spans="2:20" ht="14.25" customHeight="1" x14ac:dyDescent="0.3">
      <c r="B22" s="155"/>
      <c r="C22" s="136" t="s">
        <v>22</v>
      </c>
      <c r="D22" s="137"/>
      <c r="E22" s="306"/>
      <c r="F22" s="138"/>
      <c r="G22" s="20" t="str">
        <f>VLOOKUP($C22,'Calculation engine'!$I$8:$N$68,6,FALSE)</f>
        <v>-</v>
      </c>
      <c r="H22" s="139"/>
      <c r="I22" s="248">
        <f t="shared" si="3"/>
        <v>0</v>
      </c>
      <c r="J22" s="248">
        <f t="shared" si="3"/>
        <v>0</v>
      </c>
      <c r="K22" s="248">
        <f t="shared" si="3"/>
        <v>0</v>
      </c>
      <c r="L22" s="203"/>
      <c r="M22" s="248">
        <f t="shared" si="4"/>
        <v>0</v>
      </c>
      <c r="N22" s="249">
        <f t="shared" si="5"/>
        <v>0</v>
      </c>
      <c r="Q22" s="8">
        <f>VLOOKUP($C22,'Calculation engine'!$I$8:$N$68,3,FALSE)</f>
        <v>0</v>
      </c>
      <c r="R22" s="8">
        <f>VLOOKUP($C22,'Calculation engine'!$I$8:$N$68,4,FALSE)</f>
        <v>0</v>
      </c>
      <c r="S22" s="8">
        <f>VLOOKUP($C22,'Calculation engine'!$I$8:$N$68,5,FALSE)</f>
        <v>0</v>
      </c>
      <c r="T22" s="8">
        <f>VLOOKUP($C22,'Calculation engine'!$I$8:$N$68,2,FALSE)</f>
        <v>0</v>
      </c>
    </row>
    <row r="23" spans="2:20" ht="15" customHeight="1" x14ac:dyDescent="0.3">
      <c r="B23" s="155"/>
      <c r="C23" s="136" t="s">
        <v>22</v>
      </c>
      <c r="D23" s="137"/>
      <c r="E23" s="306"/>
      <c r="F23" s="138"/>
      <c r="G23" s="20" t="str">
        <f>VLOOKUP($C23,'Calculation engine'!$I$8:$N$68,6,FALSE)</f>
        <v>-</v>
      </c>
      <c r="H23" s="139"/>
      <c r="I23" s="248">
        <f t="shared" si="3"/>
        <v>0</v>
      </c>
      <c r="J23" s="248">
        <f t="shared" si="3"/>
        <v>0</v>
      </c>
      <c r="K23" s="248">
        <f t="shared" si="3"/>
        <v>0</v>
      </c>
      <c r="L23" s="203"/>
      <c r="M23" s="248">
        <f t="shared" si="4"/>
        <v>0</v>
      </c>
      <c r="N23" s="249">
        <f t="shared" si="5"/>
        <v>0</v>
      </c>
      <c r="Q23" s="8">
        <f>VLOOKUP($C23,'Calculation engine'!$I$8:$N$68,3,FALSE)</f>
        <v>0</v>
      </c>
      <c r="R23" s="8">
        <f>VLOOKUP($C23,'Calculation engine'!$I$8:$N$68,4,FALSE)</f>
        <v>0</v>
      </c>
      <c r="S23" s="8">
        <f>VLOOKUP($C23,'Calculation engine'!$I$8:$N$68,5,FALSE)</f>
        <v>0</v>
      </c>
      <c r="T23" s="8">
        <f>VLOOKUP($C23,'Calculation engine'!$I$8:$N$68,2,FALSE)</f>
        <v>0</v>
      </c>
    </row>
    <row r="24" spans="2:20" ht="15" customHeight="1" x14ac:dyDescent="0.3">
      <c r="B24" s="155"/>
      <c r="C24" s="136" t="s">
        <v>22</v>
      </c>
      <c r="D24" s="137"/>
      <c r="E24" s="306"/>
      <c r="F24" s="138"/>
      <c r="G24" s="20" t="str">
        <f>VLOOKUP($C24,'Calculation engine'!$I$8:$N$68,6,FALSE)</f>
        <v>-</v>
      </c>
      <c r="H24" s="139"/>
      <c r="I24" s="248">
        <f t="shared" si="3"/>
        <v>0</v>
      </c>
      <c r="J24" s="248">
        <f t="shared" si="3"/>
        <v>0</v>
      </c>
      <c r="K24" s="248">
        <f t="shared" si="3"/>
        <v>0</v>
      </c>
      <c r="L24" s="203"/>
      <c r="M24" s="248">
        <f t="shared" si="4"/>
        <v>0</v>
      </c>
      <c r="N24" s="249">
        <f t="shared" si="5"/>
        <v>0</v>
      </c>
      <c r="Q24" s="8">
        <f>VLOOKUP($C24,'Calculation engine'!$I$8:$N$68,3,FALSE)</f>
        <v>0</v>
      </c>
      <c r="R24" s="8">
        <f>VLOOKUP($C24,'Calculation engine'!$I$8:$N$68,4,FALSE)</f>
        <v>0</v>
      </c>
      <c r="S24" s="8">
        <f>VLOOKUP($C24,'Calculation engine'!$I$8:$N$68,5,FALSE)</f>
        <v>0</v>
      </c>
      <c r="T24" s="8">
        <f>VLOOKUP($C24,'Calculation engine'!$I$8:$N$68,2,FALSE)</f>
        <v>0</v>
      </c>
    </row>
    <row r="25" spans="2:20" ht="15" customHeight="1" x14ac:dyDescent="0.3">
      <c r="B25" s="155"/>
      <c r="C25" s="136" t="s">
        <v>22</v>
      </c>
      <c r="D25" s="137"/>
      <c r="E25" s="306"/>
      <c r="F25" s="138"/>
      <c r="G25" s="20" t="str">
        <f>VLOOKUP($C25,'Calculation engine'!$I$8:$N$68,6,FALSE)</f>
        <v>-</v>
      </c>
      <c r="H25" s="139"/>
      <c r="I25" s="248">
        <f t="shared" si="3"/>
        <v>0</v>
      </c>
      <c r="J25" s="248">
        <f t="shared" si="3"/>
        <v>0</v>
      </c>
      <c r="K25" s="248">
        <f t="shared" si="3"/>
        <v>0</v>
      </c>
      <c r="L25" s="203"/>
      <c r="M25" s="248">
        <f t="shared" si="4"/>
        <v>0</v>
      </c>
      <c r="N25" s="249">
        <f t="shared" si="5"/>
        <v>0</v>
      </c>
      <c r="Q25" s="8">
        <f>VLOOKUP($C25,'Calculation engine'!$I$8:$N$68,3,FALSE)</f>
        <v>0</v>
      </c>
      <c r="R25" s="8">
        <f>VLOOKUP($C25,'Calculation engine'!$I$8:$N$68,4,FALSE)</f>
        <v>0</v>
      </c>
      <c r="S25" s="8">
        <f>VLOOKUP($C25,'Calculation engine'!$I$8:$N$68,5,FALSE)</f>
        <v>0</v>
      </c>
      <c r="T25" s="8">
        <f>VLOOKUP($C25,'Calculation engine'!$I$8:$N$68,2,FALSE)</f>
        <v>0</v>
      </c>
    </row>
    <row r="26" spans="2:20" ht="15" customHeight="1" x14ac:dyDescent="0.3">
      <c r="B26" s="155"/>
      <c r="C26" s="136" t="s">
        <v>22</v>
      </c>
      <c r="D26" s="137"/>
      <c r="E26" s="306"/>
      <c r="F26" s="138"/>
      <c r="G26" s="20" t="str">
        <f>VLOOKUP($C26,'Calculation engine'!$I$8:$N$68,6,FALSE)</f>
        <v>-</v>
      </c>
      <c r="H26" s="139"/>
      <c r="I26" s="248">
        <f t="shared" si="3"/>
        <v>0</v>
      </c>
      <c r="J26" s="248">
        <f t="shared" si="3"/>
        <v>0</v>
      </c>
      <c r="K26" s="248">
        <f t="shared" si="3"/>
        <v>0</v>
      </c>
      <c r="L26" s="203"/>
      <c r="M26" s="248">
        <f t="shared" si="4"/>
        <v>0</v>
      </c>
      <c r="N26" s="249">
        <f t="shared" si="5"/>
        <v>0</v>
      </c>
      <c r="Q26" s="8">
        <f>VLOOKUP($C26,'Calculation engine'!$I$8:$N$68,3,FALSE)</f>
        <v>0</v>
      </c>
      <c r="R26" s="8">
        <f>VLOOKUP($C26,'Calculation engine'!$I$8:$N$68,4,FALSE)</f>
        <v>0</v>
      </c>
      <c r="S26" s="8">
        <f>VLOOKUP($C26,'Calculation engine'!$I$8:$N$68,5,FALSE)</f>
        <v>0</v>
      </c>
      <c r="T26" s="8">
        <f>VLOOKUP($C26,'Calculation engine'!$I$8:$N$68,2,FALSE)</f>
        <v>0</v>
      </c>
    </row>
    <row r="27" spans="2:20" ht="15" customHeight="1" x14ac:dyDescent="0.3">
      <c r="B27" s="155"/>
      <c r="C27" s="136" t="s">
        <v>22</v>
      </c>
      <c r="D27" s="137"/>
      <c r="E27" s="306"/>
      <c r="F27" s="138"/>
      <c r="G27" s="20" t="str">
        <f>VLOOKUP($C27,'Calculation engine'!$I$8:$N$68,6,FALSE)</f>
        <v>-</v>
      </c>
      <c r="H27" s="139"/>
      <c r="I27" s="248">
        <f t="shared" si="3"/>
        <v>0</v>
      </c>
      <c r="J27" s="248">
        <f t="shared" si="3"/>
        <v>0</v>
      </c>
      <c r="K27" s="248">
        <f t="shared" si="3"/>
        <v>0</v>
      </c>
      <c r="L27" s="203"/>
      <c r="M27" s="248">
        <f t="shared" si="4"/>
        <v>0</v>
      </c>
      <c r="N27" s="249">
        <f t="shared" si="5"/>
        <v>0</v>
      </c>
      <c r="Q27" s="8">
        <f>VLOOKUP($C27,'Calculation engine'!$I$8:$N$68,3,FALSE)</f>
        <v>0</v>
      </c>
      <c r="R27" s="8">
        <f>VLOOKUP($C27,'Calculation engine'!$I$8:$N$68,4,FALSE)</f>
        <v>0</v>
      </c>
      <c r="S27" s="8">
        <f>VLOOKUP($C27,'Calculation engine'!$I$8:$N$68,5,FALSE)</f>
        <v>0</v>
      </c>
      <c r="T27" s="8">
        <f>VLOOKUP($C27,'Calculation engine'!$I$8:$N$68,2,FALSE)</f>
        <v>0</v>
      </c>
    </row>
    <row r="28" spans="2:20" ht="15" customHeight="1" x14ac:dyDescent="0.3">
      <c r="B28" s="158"/>
      <c r="C28" s="141"/>
      <c r="D28" s="141"/>
      <c r="E28" s="142"/>
      <c r="F28" s="142"/>
      <c r="G28" s="312" t="s">
        <v>25</v>
      </c>
      <c r="H28" s="312"/>
      <c r="I28" s="312"/>
      <c r="J28" s="312"/>
      <c r="K28" s="312"/>
      <c r="L28" s="312"/>
      <c r="M28" s="250">
        <f>SUM(M21:M27)</f>
        <v>0</v>
      </c>
      <c r="N28" s="251">
        <f>SUM(N21:N27)</f>
        <v>0</v>
      </c>
    </row>
    <row r="29" spans="2:20" ht="15" customHeight="1" x14ac:dyDescent="0.3">
      <c r="E29" s="20"/>
      <c r="F29" s="20"/>
      <c r="G29" s="20"/>
    </row>
    <row r="30" spans="2:20" ht="15" customHeight="1" x14ac:dyDescent="0.3">
      <c r="B30" s="126"/>
      <c r="C30" s="313" t="s">
        <v>354</v>
      </c>
      <c r="D30" s="202"/>
      <c r="E30" s="315" t="s">
        <v>5</v>
      </c>
      <c r="F30" s="202"/>
      <c r="G30" s="315" t="s">
        <v>6</v>
      </c>
      <c r="H30" s="152"/>
      <c r="I30" s="317" t="s">
        <v>26</v>
      </c>
      <c r="J30" s="317"/>
      <c r="K30" s="317"/>
      <c r="L30" s="152"/>
      <c r="M30" s="202" t="s">
        <v>27</v>
      </c>
      <c r="N30" s="63" t="s">
        <v>9</v>
      </c>
    </row>
    <row r="31" spans="2:20" ht="15" customHeight="1" x14ac:dyDescent="0.3">
      <c r="B31" s="153"/>
      <c r="C31" s="314"/>
      <c r="D31" s="201"/>
      <c r="E31" s="316"/>
      <c r="F31" s="201"/>
      <c r="G31" s="316"/>
      <c r="H31" s="26"/>
      <c r="I31" s="1" t="s">
        <v>28</v>
      </c>
      <c r="J31" s="1"/>
      <c r="K31" s="26"/>
      <c r="L31" s="201"/>
      <c r="M31" s="1" t="s">
        <v>14</v>
      </c>
      <c r="N31" s="154" t="s">
        <v>15</v>
      </c>
      <c r="Q31" s="2" t="s">
        <v>29</v>
      </c>
    </row>
    <row r="32" spans="2:20" ht="15" customHeight="1" x14ac:dyDescent="0.3">
      <c r="B32" s="155"/>
      <c r="C32" s="138" t="s">
        <v>30</v>
      </c>
      <c r="D32" s="138"/>
      <c r="E32" s="138" t="s">
        <v>17</v>
      </c>
      <c r="F32" s="138"/>
      <c r="G32" s="138"/>
      <c r="H32" s="137"/>
      <c r="I32" s="137"/>
      <c r="J32" s="137"/>
      <c r="K32" s="137"/>
      <c r="L32" s="137"/>
      <c r="M32" s="137"/>
      <c r="N32" s="157"/>
      <c r="Q32" s="1" t="s">
        <v>21</v>
      </c>
    </row>
    <row r="33" spans="2:20" ht="15" customHeight="1" x14ac:dyDescent="0.3">
      <c r="B33" s="155"/>
      <c r="C33" s="136" t="s">
        <v>22</v>
      </c>
      <c r="D33" s="137"/>
      <c r="E33" s="295"/>
      <c r="F33" s="138"/>
      <c r="G33" s="20" t="s">
        <v>31</v>
      </c>
      <c r="I33" s="230">
        <f>VLOOKUP($C33,'Calculation engine'!$Q$10:$T$19,2,FALSE)</f>
        <v>0</v>
      </c>
      <c r="J33" s="324" t="str">
        <f>IF(C33="Not purchased from the main grid","You can enter a custom factor for EF","")</f>
        <v/>
      </c>
      <c r="K33" s="324"/>
      <c r="L33" s="324"/>
      <c r="M33" s="248">
        <f>E33*I33/1000</f>
        <v>0</v>
      </c>
      <c r="N33" s="249">
        <f>E33*Q34</f>
        <v>0</v>
      </c>
      <c r="Q33" s="3"/>
    </row>
    <row r="34" spans="2:20" ht="15.75" customHeight="1" x14ac:dyDescent="0.3">
      <c r="B34" s="155"/>
      <c r="C34" s="136" t="s">
        <v>22</v>
      </c>
      <c r="D34" s="137"/>
      <c r="E34" s="296"/>
      <c r="F34" s="138"/>
      <c r="G34" s="20" t="s">
        <v>31</v>
      </c>
      <c r="I34" s="230">
        <f>VLOOKUP($C34,'Calculation engine'!$Q$10:$T$19,2,FALSE)</f>
        <v>0</v>
      </c>
      <c r="J34" s="323" t="str">
        <f>IF(C34="Not purchased from the main grid","You can enter a custom factor for EF","")</f>
        <v/>
      </c>
      <c r="K34" s="323"/>
      <c r="L34" s="323"/>
      <c r="M34" s="248">
        <f>E34*I34/1000</f>
        <v>0</v>
      </c>
      <c r="N34" s="249">
        <f>E34*Q35</f>
        <v>0</v>
      </c>
      <c r="Q34" s="4">
        <f>VLOOKUP($C33,'Calculation engine'!$Q$10:$T$19,3,FALSE)</f>
        <v>0</v>
      </c>
    </row>
    <row r="35" spans="2:20" ht="16.5" customHeight="1" x14ac:dyDescent="0.3">
      <c r="B35" s="158"/>
      <c r="C35" s="141"/>
      <c r="D35" s="141"/>
      <c r="E35" s="142"/>
      <c r="F35" s="142"/>
      <c r="G35" s="312" t="s">
        <v>32</v>
      </c>
      <c r="H35" s="312"/>
      <c r="I35" s="312"/>
      <c r="J35" s="312"/>
      <c r="K35" s="312"/>
      <c r="L35" s="312"/>
      <c r="M35" s="250">
        <f>SUM(M33:M34)</f>
        <v>0</v>
      </c>
      <c r="N35" s="251">
        <f>SUM(N33:N34)</f>
        <v>0</v>
      </c>
      <c r="Q35" s="4">
        <f>VLOOKUP($C34,'Calculation engine'!$Q$10:$T$19,3,FALSE)</f>
        <v>0</v>
      </c>
    </row>
    <row r="36" spans="2:20" ht="15" customHeight="1" x14ac:dyDescent="0.3">
      <c r="E36" s="20"/>
      <c r="F36" s="20"/>
      <c r="G36" s="160"/>
      <c r="H36" s="160"/>
      <c r="I36" s="160"/>
      <c r="J36" s="160"/>
      <c r="K36" s="160"/>
      <c r="L36" s="160"/>
      <c r="M36" s="24"/>
      <c r="N36" s="24"/>
    </row>
    <row r="37" spans="2:20" ht="15" customHeight="1" x14ac:dyDescent="0.3">
      <c r="B37" s="126"/>
      <c r="C37" s="313" t="s">
        <v>355</v>
      </c>
      <c r="D37" s="202"/>
      <c r="E37" s="315" t="s">
        <v>5</v>
      </c>
      <c r="F37" s="202"/>
      <c r="G37" s="315" t="s">
        <v>6</v>
      </c>
      <c r="H37" s="152"/>
      <c r="I37" s="317"/>
      <c r="J37" s="317"/>
      <c r="K37" s="317"/>
      <c r="L37" s="152"/>
      <c r="M37" s="202"/>
      <c r="N37" s="63" t="s">
        <v>9</v>
      </c>
    </row>
    <row r="38" spans="2:20" ht="15" customHeight="1" x14ac:dyDescent="0.3">
      <c r="B38" s="153"/>
      <c r="C38" s="314"/>
      <c r="D38" s="201"/>
      <c r="E38" s="316"/>
      <c r="F38" s="201"/>
      <c r="G38" s="316"/>
      <c r="H38" s="26"/>
      <c r="I38" s="1"/>
      <c r="J38" s="1"/>
      <c r="K38" s="26"/>
      <c r="L38" s="201"/>
      <c r="M38" s="1"/>
      <c r="N38" s="154" t="s">
        <v>15</v>
      </c>
    </row>
    <row r="39" spans="2:20" ht="15" customHeight="1" x14ac:dyDescent="0.3">
      <c r="B39" s="155"/>
      <c r="C39" s="138" t="s">
        <v>33</v>
      </c>
      <c r="D39" s="138"/>
      <c r="E39" s="138" t="s">
        <v>17</v>
      </c>
      <c r="F39" s="138"/>
      <c r="G39" s="138"/>
      <c r="H39" s="137"/>
      <c r="I39" s="137"/>
      <c r="J39" s="137"/>
      <c r="K39" s="137"/>
      <c r="L39" s="137"/>
      <c r="M39" s="137"/>
      <c r="N39" s="157"/>
      <c r="Q39" s="8" t="s">
        <v>18</v>
      </c>
      <c r="R39" s="8" t="s">
        <v>19</v>
      </c>
      <c r="S39" s="8" t="s">
        <v>20</v>
      </c>
      <c r="T39" s="8" t="s">
        <v>21</v>
      </c>
    </row>
    <row r="40" spans="2:20" ht="15" customHeight="1" x14ac:dyDescent="0.3">
      <c r="B40" s="155"/>
      <c r="C40" s="136" t="s">
        <v>22</v>
      </c>
      <c r="D40" s="137"/>
      <c r="E40" s="295"/>
      <c r="F40" s="138"/>
      <c r="G40" s="20" t="str">
        <f>VLOOKUP($C40,'Calculation engine'!$AD$8:$AI$84,6,FALSE)</f>
        <v>-</v>
      </c>
      <c r="I40" s="22"/>
      <c r="J40" s="22"/>
      <c r="K40" s="161"/>
      <c r="L40" s="22"/>
      <c r="M40" s="22">
        <f>E40*I40/1000</f>
        <v>0</v>
      </c>
      <c r="N40" s="249">
        <f>T40*E40</f>
        <v>0</v>
      </c>
      <c r="Q40" s="8"/>
      <c r="R40" s="8"/>
      <c r="S40" s="8"/>
      <c r="T40" s="8">
        <f>VLOOKUP($C40,'Calculation engine'!$AD$8:$AI$84,5,FALSE)</f>
        <v>0</v>
      </c>
    </row>
    <row r="41" spans="2:20" ht="15" customHeight="1" x14ac:dyDescent="0.3">
      <c r="B41" s="155"/>
      <c r="C41" s="136" t="s">
        <v>22</v>
      </c>
      <c r="D41" s="137"/>
      <c r="E41" s="297"/>
      <c r="F41" s="138"/>
      <c r="G41" s="20" t="str">
        <f>VLOOKUP($C41,'Calculation engine'!$AD$8:$AI$84,6,FALSE)</f>
        <v>-</v>
      </c>
      <c r="I41" s="22"/>
      <c r="J41" s="22"/>
      <c r="K41" s="161"/>
      <c r="L41" s="22"/>
      <c r="M41" s="22"/>
      <c r="N41" s="249">
        <f>T41*E41</f>
        <v>0</v>
      </c>
      <c r="Q41" s="8"/>
      <c r="R41" s="8"/>
      <c r="S41" s="8"/>
      <c r="T41" s="8">
        <f>VLOOKUP($C41,'Calculation engine'!$AD$8:$AI$84,5,FALSE)</f>
        <v>0</v>
      </c>
    </row>
    <row r="42" spans="2:20" ht="15" customHeight="1" x14ac:dyDescent="0.3">
      <c r="B42" s="155"/>
      <c r="C42" s="136" t="s">
        <v>22</v>
      </c>
      <c r="D42" s="137"/>
      <c r="E42" s="296"/>
      <c r="F42" s="138"/>
      <c r="G42" s="20" t="str">
        <f>VLOOKUP($C42,'Calculation engine'!$AD$8:$AI$84,6,FALSE)</f>
        <v>-</v>
      </c>
      <c r="I42" s="22"/>
      <c r="J42" s="322"/>
      <c r="K42" s="322"/>
      <c r="L42" s="22"/>
      <c r="M42" s="22">
        <f>E42*I42/1000</f>
        <v>0</v>
      </c>
      <c r="N42" s="249">
        <f>T42*E42</f>
        <v>0</v>
      </c>
      <c r="Q42" s="8"/>
      <c r="R42" s="8"/>
      <c r="S42" s="8"/>
      <c r="T42" s="8">
        <f>VLOOKUP($C42,'Calculation engine'!$AD$8:$AI$84,5,FALSE)</f>
        <v>0</v>
      </c>
    </row>
    <row r="43" spans="2:20" ht="15" customHeight="1" x14ac:dyDescent="0.3">
      <c r="B43" s="158"/>
      <c r="C43" s="141"/>
      <c r="D43" s="141"/>
      <c r="E43" s="142"/>
      <c r="F43" s="142"/>
      <c r="G43" s="312" t="s">
        <v>34</v>
      </c>
      <c r="H43" s="312"/>
      <c r="I43" s="312"/>
      <c r="J43" s="312"/>
      <c r="K43" s="312"/>
      <c r="L43" s="312"/>
      <c r="M43" s="162"/>
      <c r="N43" s="251">
        <f>SUM(N40:N42)</f>
        <v>0</v>
      </c>
    </row>
    <row r="44" spans="2:20" ht="15" customHeight="1" x14ac:dyDescent="0.3">
      <c r="E44" s="20"/>
      <c r="F44" s="20"/>
      <c r="G44" s="160"/>
      <c r="H44" s="160"/>
      <c r="I44" s="160"/>
      <c r="J44" s="160"/>
      <c r="K44" s="160"/>
      <c r="L44" s="160"/>
      <c r="M44" s="24"/>
      <c r="N44" s="24"/>
    </row>
    <row r="45" spans="2:20" ht="15" customHeight="1" x14ac:dyDescent="0.3">
      <c r="B45" s="126"/>
      <c r="C45" s="313" t="s">
        <v>356</v>
      </c>
      <c r="D45" s="202"/>
      <c r="E45" s="315" t="s">
        <v>5</v>
      </c>
      <c r="F45" s="202"/>
      <c r="G45" s="315" t="s">
        <v>6</v>
      </c>
      <c r="H45" s="152"/>
      <c r="I45" s="317"/>
      <c r="J45" s="317"/>
      <c r="K45" s="317"/>
      <c r="L45" s="152"/>
      <c r="M45" s="202"/>
      <c r="N45" s="63" t="s">
        <v>9</v>
      </c>
    </row>
    <row r="46" spans="2:20" ht="15" customHeight="1" x14ac:dyDescent="0.3">
      <c r="B46" s="153"/>
      <c r="C46" s="314"/>
      <c r="D46" s="201"/>
      <c r="E46" s="316"/>
      <c r="F46" s="201"/>
      <c r="G46" s="316"/>
      <c r="H46" s="26"/>
      <c r="I46" s="1"/>
      <c r="J46" s="1"/>
      <c r="K46" s="26"/>
      <c r="L46" s="201"/>
      <c r="M46" s="1"/>
      <c r="N46" s="154" t="s">
        <v>15</v>
      </c>
    </row>
    <row r="47" spans="2:20" ht="15" customHeight="1" x14ac:dyDescent="0.3">
      <c r="B47" s="155"/>
      <c r="C47" s="138" t="s">
        <v>35</v>
      </c>
      <c r="D47" s="138"/>
      <c r="E47" s="138" t="s">
        <v>17</v>
      </c>
      <c r="F47" s="138"/>
      <c r="G47" s="138"/>
      <c r="H47" s="137"/>
      <c r="I47" s="137"/>
      <c r="J47" s="137"/>
      <c r="K47" s="137"/>
      <c r="L47" s="137"/>
      <c r="M47" s="137"/>
      <c r="N47" s="157"/>
      <c r="Q47" s="8" t="s">
        <v>18</v>
      </c>
      <c r="R47" s="8" t="s">
        <v>19</v>
      </c>
      <c r="S47" s="8" t="s">
        <v>20</v>
      </c>
      <c r="T47" s="8" t="s">
        <v>21</v>
      </c>
    </row>
    <row r="48" spans="2:20" ht="15" customHeight="1" x14ac:dyDescent="0.3">
      <c r="B48" s="155"/>
      <c r="C48" s="136" t="s">
        <v>22</v>
      </c>
      <c r="D48" s="137"/>
      <c r="E48" s="295"/>
      <c r="F48" s="138"/>
      <c r="G48" s="20" t="str">
        <f>VLOOKUP($C48,'Calculation engine'!$W$8:$AB$78,6,FALSE)</f>
        <v>-</v>
      </c>
      <c r="I48" s="22"/>
      <c r="J48" s="22"/>
      <c r="K48" s="161"/>
      <c r="L48" s="22"/>
      <c r="M48" s="22">
        <f>E48*I48/1000</f>
        <v>0</v>
      </c>
      <c r="N48" s="249">
        <f>T48*E48</f>
        <v>0</v>
      </c>
      <c r="Q48" s="8"/>
      <c r="R48" s="8"/>
      <c r="S48" s="8"/>
      <c r="T48" s="8">
        <f>VLOOKUP($C48,'Calculation engine'!$W$8:$AB$78,5,FALSE)</f>
        <v>0</v>
      </c>
    </row>
    <row r="49" spans="2:20" ht="15" customHeight="1" x14ac:dyDescent="0.3">
      <c r="B49" s="155"/>
      <c r="C49" s="136" t="s">
        <v>22</v>
      </c>
      <c r="D49" s="137"/>
      <c r="E49" s="297"/>
      <c r="F49" s="138"/>
      <c r="G49" s="20" t="str">
        <f>VLOOKUP($C49,'Calculation engine'!$W$8:$AB$78,6,FALSE)</f>
        <v>-</v>
      </c>
      <c r="I49" s="22"/>
      <c r="J49" s="22"/>
      <c r="K49" s="161"/>
      <c r="L49" s="22"/>
      <c r="M49" s="22"/>
      <c r="N49" s="249">
        <f>T49*E49</f>
        <v>0</v>
      </c>
      <c r="Q49" s="8"/>
      <c r="R49" s="8"/>
      <c r="S49" s="8"/>
      <c r="T49" s="8">
        <f>VLOOKUP($C49,'Calculation engine'!$W$8:$AB$78,5,FALSE)</f>
        <v>0</v>
      </c>
    </row>
    <row r="50" spans="2:20" ht="15" customHeight="1" x14ac:dyDescent="0.3">
      <c r="B50" s="155"/>
      <c r="C50" s="136" t="s">
        <v>22</v>
      </c>
      <c r="D50" s="137"/>
      <c r="E50" s="296"/>
      <c r="F50" s="138"/>
      <c r="G50" s="20" t="str">
        <f>VLOOKUP($C50,'Calculation engine'!$W$8:$AB$78,6,FALSE)</f>
        <v>-</v>
      </c>
      <c r="I50" s="22"/>
      <c r="J50" s="322"/>
      <c r="K50" s="322"/>
      <c r="L50" s="22"/>
      <c r="M50" s="22">
        <f>E50*I50/1000</f>
        <v>0</v>
      </c>
      <c r="N50" s="249">
        <f>T50*E50</f>
        <v>0</v>
      </c>
      <c r="Q50" s="8"/>
      <c r="R50" s="8"/>
      <c r="S50" s="8"/>
      <c r="T50" s="8">
        <f>VLOOKUP($C50,'Calculation engine'!$W$8:$AB$78,5,FALSE)</f>
        <v>0</v>
      </c>
    </row>
    <row r="51" spans="2:20" ht="15" customHeight="1" x14ac:dyDescent="0.3">
      <c r="B51" s="158"/>
      <c r="C51" s="141"/>
      <c r="D51" s="141"/>
      <c r="E51" s="142"/>
      <c r="F51" s="142"/>
      <c r="G51" s="312" t="s">
        <v>36</v>
      </c>
      <c r="H51" s="312"/>
      <c r="I51" s="312"/>
      <c r="J51" s="312"/>
      <c r="K51" s="312"/>
      <c r="L51" s="312"/>
      <c r="M51" s="162"/>
      <c r="N51" s="251">
        <f>SUM(N48:N50)</f>
        <v>0</v>
      </c>
    </row>
    <row r="52" spans="2:20" ht="15" customHeight="1" x14ac:dyDescent="0.3">
      <c r="E52" s="20"/>
      <c r="F52" s="20"/>
      <c r="G52" s="160"/>
      <c r="H52" s="160"/>
      <c r="I52" s="160"/>
      <c r="J52" s="160"/>
      <c r="K52" s="160"/>
      <c r="L52" s="160"/>
      <c r="M52" s="24"/>
      <c r="N52" s="197"/>
    </row>
    <row r="53" spans="2:20" ht="15" customHeight="1" x14ac:dyDescent="0.35">
      <c r="B53" s="126"/>
      <c r="C53" s="313" t="s">
        <v>357</v>
      </c>
      <c r="D53" s="202"/>
      <c r="E53" s="315"/>
      <c r="F53" s="202"/>
      <c r="G53" s="315"/>
      <c r="H53" s="152"/>
      <c r="I53" s="317" t="s">
        <v>37</v>
      </c>
      <c r="J53" s="317"/>
      <c r="K53" s="317"/>
      <c r="L53" s="152"/>
      <c r="M53" s="202" t="s">
        <v>8</v>
      </c>
      <c r="N53" s="63"/>
    </row>
    <row r="54" spans="2:20" ht="15" customHeight="1" x14ac:dyDescent="0.3">
      <c r="B54" s="153"/>
      <c r="C54" s="314"/>
      <c r="D54" s="201"/>
      <c r="E54" s="316"/>
      <c r="F54" s="201"/>
      <c r="G54" s="316"/>
      <c r="H54" s="26"/>
      <c r="I54" s="1" t="s">
        <v>11</v>
      </c>
      <c r="J54" s="1" t="s">
        <v>12</v>
      </c>
      <c r="K54" s="1" t="s">
        <v>13</v>
      </c>
      <c r="L54" s="201"/>
      <c r="M54" s="1" t="s">
        <v>14</v>
      </c>
      <c r="N54" s="154"/>
    </row>
    <row r="55" spans="2:20" ht="15" customHeight="1" x14ac:dyDescent="0.3">
      <c r="B55" s="155"/>
      <c r="C55" s="138" t="s">
        <v>38</v>
      </c>
      <c r="D55" s="138"/>
      <c r="E55" s="138"/>
      <c r="F55" s="138"/>
      <c r="G55" s="138"/>
      <c r="H55" s="137"/>
      <c r="I55" s="137"/>
      <c r="J55" s="137"/>
      <c r="K55" s="137"/>
      <c r="L55" s="137"/>
      <c r="M55" s="198"/>
      <c r="N55" s="157"/>
      <c r="Q55" s="2">
        <v>0</v>
      </c>
    </row>
    <row r="56" spans="2:20" s="9" customFormat="1" ht="15" customHeight="1" x14ac:dyDescent="0.3">
      <c r="B56" s="155"/>
      <c r="C56" s="159"/>
      <c r="D56" s="137"/>
      <c r="E56" s="217"/>
      <c r="F56" s="138"/>
      <c r="G56" s="138"/>
      <c r="H56" s="156"/>
      <c r="I56" s="199">
        <v>0</v>
      </c>
      <c r="J56" s="199">
        <v>0</v>
      </c>
      <c r="K56" s="199">
        <v>0</v>
      </c>
      <c r="L56" s="203"/>
      <c r="M56" s="248">
        <f>SUM(I56:K56)</f>
        <v>0</v>
      </c>
      <c r="N56" s="140"/>
      <c r="Q56" s="9">
        <v>25000</v>
      </c>
    </row>
    <row r="57" spans="2:20" s="9" customFormat="1" ht="15" customHeight="1" x14ac:dyDescent="0.3">
      <c r="B57" s="155"/>
      <c r="C57" s="159"/>
      <c r="D57" s="137"/>
      <c r="E57" s="217"/>
      <c r="F57" s="138"/>
      <c r="G57" s="138"/>
      <c r="H57" s="156"/>
      <c r="I57" s="199">
        <v>0</v>
      </c>
      <c r="J57" s="199">
        <v>0</v>
      </c>
      <c r="K57" s="199">
        <v>0</v>
      </c>
      <c r="L57" s="203"/>
      <c r="M57" s="248">
        <f>SUM(I57:K57)</f>
        <v>0</v>
      </c>
      <c r="N57" s="140"/>
    </row>
    <row r="58" spans="2:20" s="9" customFormat="1" ht="15" customHeight="1" x14ac:dyDescent="0.3">
      <c r="B58" s="158"/>
      <c r="C58" s="141"/>
      <c r="D58" s="141"/>
      <c r="E58" s="142"/>
      <c r="F58" s="142"/>
      <c r="G58" s="312" t="s">
        <v>39</v>
      </c>
      <c r="H58" s="312"/>
      <c r="I58" s="312"/>
      <c r="J58" s="312"/>
      <c r="K58" s="312"/>
      <c r="L58" s="312"/>
      <c r="M58" s="250">
        <f>SUM(M56:M57)</f>
        <v>0</v>
      </c>
      <c r="N58" s="143"/>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6"/>
      <c r="C60" s="325" t="s">
        <v>358</v>
      </c>
      <c r="D60" s="327" t="s">
        <v>40</v>
      </c>
      <c r="E60" s="327"/>
      <c r="F60" s="327"/>
      <c r="G60" s="327"/>
      <c r="H60" s="163"/>
      <c r="I60" s="163"/>
      <c r="J60" s="164"/>
      <c r="K60" s="164"/>
      <c r="L60" s="327" t="s">
        <v>41</v>
      </c>
      <c r="M60" s="327"/>
      <c r="N60" s="165"/>
    </row>
    <row r="61" spans="2:20" s="9" customFormat="1" ht="15" customHeight="1" x14ac:dyDescent="0.3">
      <c r="B61" s="144"/>
      <c r="C61" s="314"/>
      <c r="D61" s="316"/>
      <c r="E61" s="316"/>
      <c r="F61" s="316"/>
      <c r="G61" s="316"/>
      <c r="H61" s="26"/>
      <c r="I61" s="1"/>
      <c r="J61" s="166"/>
      <c r="K61" s="166"/>
      <c r="L61" s="316"/>
      <c r="M61" s="316"/>
      <c r="N61" s="167"/>
    </row>
    <row r="62" spans="2:20" s="9" customFormat="1" ht="15" customHeight="1" x14ac:dyDescent="0.3">
      <c r="B62" s="144"/>
      <c r="C62" s="65" t="s">
        <v>42</v>
      </c>
      <c r="D62" s="331">
        <f>M16+M28+M58</f>
        <v>0</v>
      </c>
      <c r="E62" s="331"/>
      <c r="F62" s="20"/>
      <c r="G62" s="9" t="s">
        <v>43</v>
      </c>
      <c r="L62" s="247">
        <f>IFERROR((D62/'Facility 2'!$N$4)*Output!$N$2,0)</f>
        <v>0</v>
      </c>
      <c r="M62" s="190" t="s">
        <v>43</v>
      </c>
      <c r="N62" s="145"/>
    </row>
    <row r="63" spans="2:20" s="9" customFormat="1" ht="15" customHeight="1" x14ac:dyDescent="0.3">
      <c r="B63" s="146"/>
      <c r="C63" s="65" t="s">
        <v>44</v>
      </c>
      <c r="D63" s="331">
        <f>M35</f>
        <v>0</v>
      </c>
      <c r="E63" s="331"/>
      <c r="F63" s="20"/>
      <c r="G63" s="9" t="s">
        <v>43</v>
      </c>
      <c r="L63" s="247">
        <f>IFERROR((D63/'Facility 2'!$N$4)*Output!$N$2,0)</f>
        <v>0</v>
      </c>
      <c r="M63" s="190" t="s">
        <v>43</v>
      </c>
      <c r="N63" s="49"/>
    </row>
    <row r="64" spans="2:20" ht="15" customHeight="1" x14ac:dyDescent="0.3">
      <c r="B64" s="146"/>
      <c r="C64" s="14" t="s">
        <v>45</v>
      </c>
      <c r="D64" s="337">
        <f>D62+D63</f>
        <v>0</v>
      </c>
      <c r="E64" s="338"/>
      <c r="F64" s="20"/>
      <c r="G64" s="191" t="s">
        <v>46</v>
      </c>
      <c r="H64" s="191"/>
      <c r="I64" s="9"/>
      <c r="J64" s="9"/>
      <c r="K64" s="9"/>
      <c r="L64" s="252">
        <f>IFERROR((D64/'Facility 2'!$N$4)*Output!$N$2,0)</f>
        <v>0</v>
      </c>
      <c r="M64" s="192" t="s">
        <v>46</v>
      </c>
      <c r="N64" s="211"/>
    </row>
    <row r="65" spans="2:14" ht="15" customHeight="1" x14ac:dyDescent="0.3">
      <c r="B65" s="146"/>
      <c r="C65" s="15" t="s">
        <v>47</v>
      </c>
      <c r="D65" s="339">
        <f>N16+N28+N35+N43</f>
        <v>0</v>
      </c>
      <c r="E65" s="340"/>
      <c r="F65" s="193"/>
      <c r="G65" s="51" t="s">
        <v>48</v>
      </c>
      <c r="H65" s="51"/>
      <c r="I65" s="194"/>
      <c r="J65" s="194"/>
      <c r="K65" s="194"/>
      <c r="L65" s="252">
        <f>IFERROR((D65/'Facility 2'!$N$4)*Output!$N$2,0)</f>
        <v>0</v>
      </c>
      <c r="M65" s="85" t="s">
        <v>48</v>
      </c>
      <c r="N65" s="55"/>
    </row>
    <row r="66" spans="2:14" ht="15" customHeight="1" x14ac:dyDescent="0.3">
      <c r="B66" s="147"/>
      <c r="C66" s="17" t="s">
        <v>49</v>
      </c>
      <c r="D66" s="341">
        <f>N51</f>
        <v>0</v>
      </c>
      <c r="E66" s="342"/>
      <c r="F66" s="195"/>
      <c r="G66" s="57" t="s">
        <v>48</v>
      </c>
      <c r="H66" s="57"/>
      <c r="I66" s="196"/>
      <c r="J66" s="196"/>
      <c r="K66" s="196"/>
      <c r="L66" s="253">
        <f>IFERROR((D66/'Facility 2'!$N$4)*Output!$N$2,0)</f>
        <v>0</v>
      </c>
      <c r="M66" s="86"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48"/>
      <c r="C68" s="325" t="s">
        <v>359</v>
      </c>
      <c r="D68" s="325"/>
      <c r="E68" s="325"/>
      <c r="F68" s="325"/>
      <c r="G68" s="325"/>
      <c r="H68" s="325"/>
      <c r="I68" s="325"/>
      <c r="J68" s="325"/>
      <c r="K68" s="325"/>
      <c r="L68" s="325"/>
      <c r="M68" s="325"/>
      <c r="N68" s="329"/>
    </row>
    <row r="69" spans="2:14" ht="15" customHeight="1" x14ac:dyDescent="0.3">
      <c r="B69" s="18"/>
      <c r="C69" s="314"/>
      <c r="D69" s="314"/>
      <c r="E69" s="314"/>
      <c r="F69" s="314"/>
      <c r="G69" s="314"/>
      <c r="H69" s="314"/>
      <c r="I69" s="314"/>
      <c r="J69" s="314"/>
      <c r="K69" s="314"/>
      <c r="L69" s="314"/>
      <c r="M69" s="314"/>
      <c r="N69" s="330"/>
    </row>
    <row r="70" spans="2:14" ht="15" customHeight="1" x14ac:dyDescent="0.3">
      <c r="B70" s="19"/>
      <c r="C70" s="326" t="s">
        <v>50</v>
      </c>
      <c r="D70" s="30"/>
      <c r="E70" s="31" t="s">
        <v>51</v>
      </c>
      <c r="F70" s="336" t="str">
        <f>IF(L64&gt;=25000,"You may have triggered the emissions reporting threshold for this facility. Please contact the Clean Energy Regulator",IF(L64&gt;21000, "You are close to the emissions reporting threshold for this facility. Please contact the Clean Energy Regulator",""))</f>
        <v/>
      </c>
      <c r="G70" s="336"/>
      <c r="H70" s="336"/>
      <c r="I70" s="336"/>
      <c r="J70" s="336"/>
      <c r="K70" s="336"/>
      <c r="L70" s="336"/>
      <c r="M70" s="336"/>
      <c r="N70" s="32" t="s">
        <v>52</v>
      </c>
    </row>
    <row r="71" spans="2:14" ht="15" customHeight="1" x14ac:dyDescent="0.35">
      <c r="B71" s="144"/>
      <c r="C71" s="326"/>
      <c r="D71" s="33"/>
      <c r="E71" s="332">
        <f>L64</f>
        <v>0</v>
      </c>
      <c r="F71" s="332"/>
      <c r="G71" s="332"/>
      <c r="H71" s="332"/>
      <c r="I71" s="332"/>
      <c r="J71" s="332"/>
      <c r="K71" s="332"/>
      <c r="L71" s="332"/>
      <c r="M71" s="332"/>
      <c r="N71" s="333"/>
    </row>
    <row r="72" spans="2:14" ht="15" customHeight="1" x14ac:dyDescent="0.35">
      <c r="B72" s="144"/>
      <c r="C72" s="326" t="s">
        <v>53</v>
      </c>
      <c r="D72" s="33"/>
      <c r="E72" s="34" t="s">
        <v>54</v>
      </c>
      <c r="F72" s="343" t="str">
        <f>IF(L65&gt;=100000,"You may have triggered the energy reporting threshold for this facility. Please contact the Clean Energy Regulator",IF(L65&gt;90000, "You are close to the energy reporting threshold for this facility. Please contact the Clean Energy Regulator",""))</f>
        <v/>
      </c>
      <c r="G72" s="343"/>
      <c r="H72" s="343"/>
      <c r="I72" s="343"/>
      <c r="J72" s="343"/>
      <c r="K72" s="343"/>
      <c r="L72" s="343"/>
      <c r="M72" s="343"/>
      <c r="N72" s="35" t="s">
        <v>55</v>
      </c>
    </row>
    <row r="73" spans="2:14" ht="17.55" customHeight="1" x14ac:dyDescent="0.3">
      <c r="B73" s="144"/>
      <c r="C73" s="326"/>
      <c r="E73" s="332">
        <f>L65</f>
        <v>0</v>
      </c>
      <c r="F73" s="332"/>
      <c r="G73" s="332"/>
      <c r="H73" s="332"/>
      <c r="I73" s="332"/>
      <c r="J73" s="332"/>
      <c r="K73" s="332"/>
      <c r="L73" s="332"/>
      <c r="M73" s="332"/>
      <c r="N73" s="333"/>
    </row>
    <row r="74" spans="2:14" ht="17.55" customHeight="1" x14ac:dyDescent="0.3">
      <c r="B74" s="144"/>
      <c r="C74" s="326" t="s">
        <v>56</v>
      </c>
      <c r="E74" s="34" t="s">
        <v>54</v>
      </c>
      <c r="F74" s="343" t="str">
        <f>IF(L66&gt;=100000,"You may have triggered the energy reporting threshold for this facility. Please contact the Clean Energy Regulator",IF(L66&gt;90000, "You are close to the energy reporting threshold for this facility. Please contact the Clean Energy Regulator",""))</f>
        <v/>
      </c>
      <c r="G74" s="343"/>
      <c r="H74" s="343"/>
      <c r="I74" s="343"/>
      <c r="J74" s="343"/>
      <c r="K74" s="343"/>
      <c r="L74" s="343"/>
      <c r="M74" s="343"/>
      <c r="N74" s="35" t="s">
        <v>55</v>
      </c>
    </row>
    <row r="75" spans="2:14" ht="17.55" customHeight="1" x14ac:dyDescent="0.3">
      <c r="B75" s="149"/>
      <c r="C75" s="328"/>
      <c r="D75" s="150"/>
      <c r="E75" s="334">
        <f>L66</f>
        <v>0</v>
      </c>
      <c r="F75" s="334"/>
      <c r="G75" s="334"/>
      <c r="H75" s="334"/>
      <c r="I75" s="334"/>
      <c r="J75" s="334"/>
      <c r="K75" s="334"/>
      <c r="L75" s="334"/>
      <c r="M75" s="334"/>
      <c r="N75" s="335"/>
    </row>
    <row r="76" spans="2:14" ht="17.55" hidden="1" customHeight="1" x14ac:dyDescent="0.3"/>
    <row r="77" spans="2:14" ht="17.55" hidden="1" customHeight="1" x14ac:dyDescent="0.3"/>
    <row r="78" spans="2:14" ht="17.55" hidden="1" customHeight="1" x14ac:dyDescent="0.3"/>
    <row r="79" spans="2:14" ht="17.55" hidden="1" customHeight="1" x14ac:dyDescent="0.3"/>
    <row r="80" spans="2:14" ht="17.55" hidden="1" customHeight="1" x14ac:dyDescent="0.3"/>
    <row r="81" ht="17.55" hidden="1" customHeight="1" x14ac:dyDescent="0.3"/>
    <row r="82" ht="17.55" hidden="1" customHeight="1" x14ac:dyDescent="0.3"/>
    <row r="83" ht="17.55" hidden="1" customHeight="1" x14ac:dyDescent="0.3"/>
    <row r="84" ht="17.55" hidden="1" customHeight="1" x14ac:dyDescent="0.3"/>
    <row r="85" ht="17.55" hidden="1" customHeight="1" x14ac:dyDescent="0.3"/>
    <row r="86" ht="17.55" hidden="1" customHeight="1" x14ac:dyDescent="0.3"/>
    <row r="87" ht="17.55" hidden="1" customHeight="1" x14ac:dyDescent="0.3"/>
    <row r="88" ht="17.55" hidden="1" customHeight="1" x14ac:dyDescent="0.3"/>
    <row r="89" ht="17.55" hidden="1" customHeight="1" x14ac:dyDescent="0.3"/>
    <row r="90" ht="17.55" hidden="1" customHeight="1" x14ac:dyDescent="0.3"/>
    <row r="91" ht="17.55" hidden="1" customHeight="1" x14ac:dyDescent="0.3"/>
    <row r="92" ht="17.55" hidden="1" customHeight="1" x14ac:dyDescent="0.3"/>
    <row r="93" ht="17.55" hidden="1" customHeight="1" x14ac:dyDescent="0.3"/>
    <row r="94" ht="17.55" hidden="1" customHeight="1" x14ac:dyDescent="0.3"/>
    <row r="95" ht="17.55" hidden="1" customHeight="1" x14ac:dyDescent="0.3"/>
    <row r="96" ht="17.55" hidden="1" customHeight="1" x14ac:dyDescent="0.3"/>
    <row r="97" ht="17.55" hidden="1" customHeight="1" x14ac:dyDescent="0.3"/>
    <row r="98" ht="17.55" hidden="1" customHeight="1" x14ac:dyDescent="0.3"/>
  </sheetData>
  <sheetProtection algorithmName="SHA-256" hashValue="t0nLb0XM1H4Wv8ssGk1s/4KC2ZtK50itMzuOTLZNs6k=" saltValue="WM875WvMav4KtKMPTaqmKw=="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{D3E2BFBA-8B19-4DDF-AF83-4A2DB2DBD991}</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{1306B472-EB43-449F-BB99-FB2A100909D8}</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{6D36502F-B36B-49F4-A082-0BC00429DF01}</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{CCC9A493-1455-4F61-9A4B-FBA8BD5568F8}</x14:id>
        </ext>
      </extLst>
    </cfRule>
  </conditionalFormatting>
  <conditionalFormatting sqref="G21:N27">
    <cfRule type="cellIs" dxfId="76" priority="7" operator="equal">
      <formula>0</formula>
    </cfRule>
  </conditionalFormatting>
  <conditionalFormatting sqref="H40:N42">
    <cfRule type="cellIs" dxfId="75" priority="6" operator="equal">
      <formula>0</formula>
    </cfRule>
  </conditionalFormatting>
  <conditionalFormatting sqref="H48:N50">
    <cfRule type="cellIs" dxfId="74" priority="5" operator="equal">
      <formula>0</formula>
    </cfRule>
  </conditionalFormatting>
  <conditionalFormatting sqref="I33:I34 I41">
    <cfRule type="cellIs" dxfId="73" priority="17" operator="equal">
      <formula>0.64</formula>
    </cfRule>
  </conditionalFormatting>
  <conditionalFormatting sqref="I33:J34 M33:N34 I41:M41 C65">
    <cfRule type="cellIs" dxfId="72" priority="16" operator="equal">
      <formula>0</formula>
    </cfRule>
  </conditionalFormatting>
  <conditionalFormatting sqref="I49:M49">
    <cfRule type="aboveAverage" dxfId="71" priority="14"/>
  </conditionalFormatting>
  <conditionalFormatting sqref="I9:N15">
    <cfRule type="cellIs" dxfId="70" priority="11" operator="equal">
      <formula>0</formula>
    </cfRule>
  </conditionalFormatting>
  <conditionalFormatting sqref="I40:N40 N41:N42 J42 L42:M42">
    <cfRule type="cellIs" dxfId="69" priority="15" operator="equal">
      <formula>0</formula>
    </cfRule>
  </conditionalFormatting>
  <conditionalFormatting sqref="I48:N48 N49:N50 J50 L50:M50">
    <cfRule type="cellIs" dxfId="68" priority="13" operator="equal">
      <formula>0</formula>
    </cfRule>
  </conditionalFormatting>
  <conditionalFormatting sqref="L57 N57">
    <cfRule type="cellIs" dxfId="67"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{78407EE3-563F-408B-99F0-DD61FC9CD00D}</x14:id>
        </ext>
      </extLst>
    </cfRule>
  </conditionalFormatting>
  <conditionalFormatting sqref="N4">
    <cfRule type="expression" dxfId="66" priority="3">
      <formula>M4="No specific period"</formula>
    </cfRule>
    <cfRule type="cellIs" dxfId="65" priority="4" operator="equal">
      <formula>"# of days?"</formula>
    </cfRule>
  </conditionalFormatting>
  <dataValidations count="1">
    <dataValidation type="list" allowBlank="1" showInputMessage="1" showErrorMessage="1" sqref="M4" xr:uid="{00000000-0002-0000-02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D3E2BFBA-8B19-4DDF-AF83-4A2DB2DBD991}">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1306B472-EB43-449F-BB99-FB2A100909D8}">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6D36502F-B36B-49F4-A082-0BC00429DF01}">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CCC9A493-1455-4F61-9A4B-FBA8BD5568F8}">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78407EE3-563F-408B-99F0-DD61FC9CD00D}">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3000000}">
          <x14:formula1>
            <xm:f>'Calculation engine'!$Q$10:$Q$19</xm:f>
          </x14:formula1>
          <xm:sqref>C33:C34</xm:sqref>
        </x14:dataValidation>
        <x14:dataValidation type="list" allowBlank="1" showInputMessage="1" showErrorMessage="1" xr:uid="{00000000-0002-0000-0200-000005000000}">
          <x14:formula1>
            <xm:f>'Calculation engine'!$B$8:$B$35</xm:f>
          </x14:formula1>
          <xm:sqref>C9:C15</xm:sqref>
        </x14:dataValidation>
        <x14:dataValidation type="list" allowBlank="1" showInputMessage="1" showErrorMessage="1" xr:uid="{00000000-0002-0000-0200-000004000000}">
          <x14:formula1>
            <xm:f>'Calculation engine'!$I$8:$I$68</xm:f>
          </x14:formula1>
          <xm:sqref>C21:C27</xm:sqref>
        </x14:dataValidation>
        <x14:dataValidation type="list" allowBlank="1" showInputMessage="1" showErrorMessage="1" xr:uid="{00000000-0002-0000-0200-000001000000}">
          <x14:formula1>
            <xm:f>'Calculation engine'!$W$8:$W$78</xm:f>
          </x14:formula1>
          <xm:sqref>C48:C50</xm:sqref>
        </x14:dataValidation>
        <x14:dataValidation type="list" allowBlank="1" showInputMessage="1" showErrorMessage="1" xr:uid="{00000000-0002-0000-0200-000002000000}">
          <x14:formula1>
            <xm:f>'Calculation engine'!$AD$8:$AD$84</xm:f>
          </x14:formula1>
          <xm:sqref>C40:C42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8"/>
  <sheetViews>
    <sheetView showRowColHeaders="0" zoomScaleNormal="100" workbookViewId="0">
      <selection activeCell="E4" sqref="E4:H4"/>
    </sheetView>
  </sheetViews>
  <sheetFormatPr defaultColWidth="0" defaultRowHeight="15" customHeight="1" zeroHeight="1" x14ac:dyDescent="0.3"/>
  <cols>
    <col min="1" max="2" width="4" style="2" customWidth="1"/>
    <col min="3" max="3" width="67.5546875" style="2" customWidth="1"/>
    <col min="4" max="4" width="3.44140625" style="2" customWidth="1"/>
    <col min="5" max="5" width="19.5546875" style="2" customWidth="1"/>
    <col min="6" max="6" width="3.5546875" style="2" customWidth="1"/>
    <col min="7" max="8" width="9.21875" style="2" customWidth="1"/>
    <col min="9" max="9" width="13.5546875" style="2" customWidth="1"/>
    <col min="10" max="10" width="12.21875" style="2" customWidth="1"/>
    <col min="11" max="11" width="11.77734375" style="2" customWidth="1"/>
    <col min="12" max="12" width="22.5546875" style="2" customWidth="1"/>
    <col min="13" max="13" width="23.77734375" style="2" customWidth="1"/>
    <col min="14" max="14" width="23.44140625" style="2" customWidth="1"/>
    <col min="15" max="15" width="4.5546875" style="2" hidden="1" customWidth="1"/>
    <col min="16" max="20" width="0" style="2" hidden="1" customWidth="1"/>
    <col min="21" max="16384" width="9.21875" style="2" hidden="1"/>
  </cols>
  <sheetData>
    <row r="1" spans="2:20" ht="203.25" customHeight="1" x14ac:dyDescent="0.3"/>
    <row r="2" spans="2:20" ht="33" customHeight="1" x14ac:dyDescent="0.3">
      <c r="B2" s="181"/>
      <c r="C2" s="311" t="s">
        <v>351</v>
      </c>
      <c r="D2" s="311"/>
      <c r="E2" s="311"/>
      <c r="F2" s="311"/>
      <c r="G2" s="311"/>
      <c r="H2" s="311"/>
      <c r="I2" s="311"/>
      <c r="J2" s="311"/>
      <c r="K2" s="311"/>
      <c r="L2" s="311"/>
      <c r="M2" s="311"/>
      <c r="N2" s="311"/>
    </row>
    <row r="3" spans="2:20" ht="15" customHeight="1" x14ac:dyDescent="0.3">
      <c r="B3" s="151"/>
      <c r="C3" s="151"/>
      <c r="D3" s="151"/>
      <c r="E3" s="151"/>
      <c r="F3" s="151"/>
      <c r="G3" s="151"/>
      <c r="H3" s="151"/>
      <c r="I3" s="151"/>
      <c r="J3" s="151"/>
      <c r="K3" s="151"/>
      <c r="L3" s="151"/>
      <c r="M3" s="151"/>
      <c r="N3" s="20" t="str">
        <f>IF(M4="Part year","Enter days below","")</f>
        <v/>
      </c>
      <c r="Q3" s="2" t="s">
        <v>1</v>
      </c>
    </row>
    <row r="4" spans="2:20" ht="15" customHeight="1" x14ac:dyDescent="0.3">
      <c r="B4" s="181"/>
      <c r="C4" s="201" t="s">
        <v>2</v>
      </c>
      <c r="D4" s="151"/>
      <c r="E4" s="318"/>
      <c r="F4" s="319"/>
      <c r="G4" s="319"/>
      <c r="H4" s="320"/>
      <c r="I4" s="151"/>
      <c r="J4" s="316" t="s">
        <v>3</v>
      </c>
      <c r="K4" s="321"/>
      <c r="L4" s="321"/>
      <c r="M4" s="66" t="s">
        <v>1</v>
      </c>
      <c r="N4" s="66">
        <f>IF(M4="Full year",365,"")</f>
        <v>365</v>
      </c>
      <c r="Q4" s="2" t="s">
        <v>4</v>
      </c>
    </row>
    <row r="5" spans="2:20" ht="14.4" x14ac:dyDescent="0.3"/>
    <row r="6" spans="2:20" ht="15" customHeight="1" x14ac:dyDescent="0.3">
      <c r="B6" s="126"/>
      <c r="C6" s="313" t="s">
        <v>352</v>
      </c>
      <c r="D6" s="202"/>
      <c r="E6" s="315" t="s">
        <v>5</v>
      </c>
      <c r="F6" s="202"/>
      <c r="G6" s="315" t="s">
        <v>6</v>
      </c>
      <c r="H6" s="152"/>
      <c r="I6" s="317" t="s">
        <v>7</v>
      </c>
      <c r="J6" s="317"/>
      <c r="K6" s="317"/>
      <c r="L6" s="152"/>
      <c r="M6" s="202" t="s">
        <v>8</v>
      </c>
      <c r="N6" s="63" t="s">
        <v>9</v>
      </c>
      <c r="Q6" s="2" t="s">
        <v>10</v>
      </c>
    </row>
    <row r="7" spans="2:20" ht="14.25" customHeight="1" x14ac:dyDescent="0.3">
      <c r="B7" s="153"/>
      <c r="C7" s="314"/>
      <c r="D7" s="201"/>
      <c r="E7" s="316"/>
      <c r="F7" s="201"/>
      <c r="G7" s="316"/>
      <c r="H7" s="26"/>
      <c r="I7" s="1" t="s">
        <v>11</v>
      </c>
      <c r="J7" s="1" t="s">
        <v>12</v>
      </c>
      <c r="K7" s="1" t="s">
        <v>13</v>
      </c>
      <c r="L7" s="201"/>
      <c r="M7" s="1" t="s">
        <v>14</v>
      </c>
      <c r="N7" s="154" t="s">
        <v>15</v>
      </c>
    </row>
    <row r="8" spans="2:20" ht="14.4" x14ac:dyDescent="0.3">
      <c r="B8" s="155"/>
      <c r="C8" s="138" t="s">
        <v>16</v>
      </c>
      <c r="D8" s="138"/>
      <c r="E8" s="138" t="s">
        <v>17</v>
      </c>
      <c r="F8" s="138"/>
      <c r="G8" s="138"/>
      <c r="H8" s="137"/>
      <c r="I8" s="137"/>
      <c r="J8" s="137"/>
      <c r="K8" s="137"/>
      <c r="L8" s="137"/>
      <c r="M8" s="137"/>
      <c r="N8" s="157"/>
      <c r="Q8" s="8" t="s">
        <v>18</v>
      </c>
      <c r="R8" s="8" t="s">
        <v>19</v>
      </c>
      <c r="S8" s="8" t="s">
        <v>20</v>
      </c>
      <c r="T8" s="8" t="s">
        <v>21</v>
      </c>
    </row>
    <row r="9" spans="2:20" ht="15" customHeight="1" x14ac:dyDescent="0.3">
      <c r="B9" s="155"/>
      <c r="C9" s="136" t="s">
        <v>22</v>
      </c>
      <c r="D9" s="137"/>
      <c r="E9" s="295"/>
      <c r="F9" s="138"/>
      <c r="G9" s="20" t="str">
        <f>VLOOKUP($C9,'Calculation engine'!$B$8:$G$35,6,FALSE)</f>
        <v>-</v>
      </c>
      <c r="H9" s="139"/>
      <c r="I9" s="248">
        <f>Q9*$N9/1000</f>
        <v>0</v>
      </c>
      <c r="J9" s="248">
        <f>R9*$N9/1000</f>
        <v>0</v>
      </c>
      <c r="K9" s="248">
        <f>S9*$N9/1000</f>
        <v>0</v>
      </c>
      <c r="L9" s="203"/>
      <c r="M9" s="248">
        <f>SUM(I9:K9)</f>
        <v>0</v>
      </c>
      <c r="N9" s="249">
        <f>T9*E9</f>
        <v>0</v>
      </c>
      <c r="Q9" s="8">
        <f>VLOOKUP($C9,'Calculation engine'!$B$8:$G$35,3,FALSE)</f>
        <v>0</v>
      </c>
      <c r="R9" s="8">
        <f>VLOOKUP($C9,'Calculation engine'!$B$8:$G$35,4,FALSE)</f>
        <v>0</v>
      </c>
      <c r="S9" s="8">
        <f>VLOOKUP($C9,'Calculation engine'!$B$8:$G$35,5,FALSE)</f>
        <v>0</v>
      </c>
      <c r="T9" s="8">
        <f>VLOOKUP($C9,'Calculation engine'!$B$8:$G$35,2,FALSE)</f>
        <v>0</v>
      </c>
    </row>
    <row r="10" spans="2:20" ht="15" customHeight="1" x14ac:dyDescent="0.3">
      <c r="B10" s="155"/>
      <c r="C10" s="136" t="s">
        <v>22</v>
      </c>
      <c r="D10" s="137"/>
      <c r="E10" s="306"/>
      <c r="F10" s="138"/>
      <c r="G10" s="20" t="str">
        <f>VLOOKUP($C10,'Calculation engine'!$B$8:$G$35,6,FALSE)</f>
        <v>-</v>
      </c>
      <c r="H10" s="139"/>
      <c r="I10" s="248">
        <f t="shared" ref="I10:K15" si="0">Q10*$N10/1000</f>
        <v>0</v>
      </c>
      <c r="J10" s="248">
        <f t="shared" si="0"/>
        <v>0</v>
      </c>
      <c r="K10" s="248">
        <f t="shared" si="0"/>
        <v>0</v>
      </c>
      <c r="L10" s="203"/>
      <c r="M10" s="248">
        <f t="shared" ref="M10:M15" si="1">SUM(I10:K10)</f>
        <v>0</v>
      </c>
      <c r="N10" s="249">
        <f t="shared" ref="N10:N15" si="2">T10*E10</f>
        <v>0</v>
      </c>
      <c r="Q10" s="8">
        <f>VLOOKUP($C10,'Calculation engine'!$B$8:$G$35,3,FALSE)</f>
        <v>0</v>
      </c>
      <c r="R10" s="8">
        <f>VLOOKUP($C10,'Calculation engine'!$B$8:$G$35,4,FALSE)</f>
        <v>0</v>
      </c>
      <c r="S10" s="8">
        <f>VLOOKUP($C10,'Calculation engine'!$B$8:$G$35,5,FALSE)</f>
        <v>0</v>
      </c>
      <c r="T10" s="8">
        <f>VLOOKUP($C10,'Calculation engine'!$B$8:$G$35,2,FALSE)</f>
        <v>0</v>
      </c>
    </row>
    <row r="11" spans="2:20" ht="15" customHeight="1" x14ac:dyDescent="0.3">
      <c r="B11" s="155"/>
      <c r="C11" s="136" t="s">
        <v>22</v>
      </c>
      <c r="D11" s="137"/>
      <c r="E11" s="306"/>
      <c r="F11" s="138"/>
      <c r="G11" s="20" t="str">
        <f>VLOOKUP($C11,'Calculation engine'!$B$8:$G$35,6,FALSE)</f>
        <v>-</v>
      </c>
      <c r="H11" s="139"/>
      <c r="I11" s="248">
        <f t="shared" si="0"/>
        <v>0</v>
      </c>
      <c r="J11" s="248">
        <f t="shared" si="0"/>
        <v>0</v>
      </c>
      <c r="K11" s="248">
        <f t="shared" si="0"/>
        <v>0</v>
      </c>
      <c r="L11" s="203"/>
      <c r="M11" s="248">
        <f>SUM(I11:K11)</f>
        <v>0</v>
      </c>
      <c r="N11" s="249">
        <f>T11*E11</f>
        <v>0</v>
      </c>
      <c r="Q11" s="8">
        <f>VLOOKUP($C11,'Calculation engine'!$B$8:$G$35,3,FALSE)</f>
        <v>0</v>
      </c>
      <c r="R11" s="8">
        <f>VLOOKUP($C11,'Calculation engine'!$B$8:$G$35,4,FALSE)</f>
        <v>0</v>
      </c>
      <c r="S11" s="8">
        <f>VLOOKUP($C11,'Calculation engine'!$B$8:$G$35,5,FALSE)</f>
        <v>0</v>
      </c>
      <c r="T11" s="8">
        <f>VLOOKUP($C11,'Calculation engine'!$B$8:$G$35,2,FALSE)</f>
        <v>0</v>
      </c>
    </row>
    <row r="12" spans="2:20" ht="15" customHeight="1" x14ac:dyDescent="0.3">
      <c r="B12" s="155"/>
      <c r="C12" s="136" t="s">
        <v>22</v>
      </c>
      <c r="D12" s="137"/>
      <c r="E12" s="306"/>
      <c r="F12" s="138"/>
      <c r="G12" s="20" t="str">
        <f>VLOOKUP($C12,'Calculation engine'!$B$8:$G$35,6,FALSE)</f>
        <v>-</v>
      </c>
      <c r="H12" s="139"/>
      <c r="I12" s="248">
        <f t="shared" si="0"/>
        <v>0</v>
      </c>
      <c r="J12" s="248">
        <f t="shared" si="0"/>
        <v>0</v>
      </c>
      <c r="K12" s="248">
        <f t="shared" si="0"/>
        <v>0</v>
      </c>
      <c r="L12" s="203"/>
      <c r="M12" s="248">
        <f>SUM(I12:K12)</f>
        <v>0</v>
      </c>
      <c r="N12" s="249">
        <f>T12*E12</f>
        <v>0</v>
      </c>
      <c r="Q12" s="8">
        <f>VLOOKUP($C12,'Calculation engine'!$B$8:$G$35,3,FALSE)</f>
        <v>0</v>
      </c>
      <c r="R12" s="8">
        <f>VLOOKUP($C12,'Calculation engine'!$B$8:$G$35,4,FALSE)</f>
        <v>0</v>
      </c>
      <c r="S12" s="8">
        <f>VLOOKUP($C12,'Calculation engine'!$B$8:$G$35,5,FALSE)</f>
        <v>0</v>
      </c>
      <c r="T12" s="8">
        <f>VLOOKUP($C12,'Calculation engine'!$B$8:$G$35,2,FALSE)</f>
        <v>0</v>
      </c>
    </row>
    <row r="13" spans="2:20" ht="15" customHeight="1" x14ac:dyDescent="0.3">
      <c r="B13" s="155"/>
      <c r="C13" s="136" t="s">
        <v>22</v>
      </c>
      <c r="D13" s="137"/>
      <c r="E13" s="306"/>
      <c r="F13" s="138"/>
      <c r="G13" s="20" t="str">
        <f>VLOOKUP($C13,'Calculation engine'!$B$8:$G$35,6,FALSE)</f>
        <v>-</v>
      </c>
      <c r="H13" s="139"/>
      <c r="I13" s="248">
        <f t="shared" si="0"/>
        <v>0</v>
      </c>
      <c r="J13" s="248">
        <f t="shared" si="0"/>
        <v>0</v>
      </c>
      <c r="K13" s="248">
        <f t="shared" si="0"/>
        <v>0</v>
      </c>
      <c r="L13" s="203"/>
      <c r="M13" s="248">
        <f>SUM(I13:K13)</f>
        <v>0</v>
      </c>
      <c r="N13" s="249">
        <f>T13*E13</f>
        <v>0</v>
      </c>
      <c r="Q13" s="8">
        <f>VLOOKUP($C13,'Calculation engine'!$B$8:$G$35,3,FALSE)</f>
        <v>0</v>
      </c>
      <c r="R13" s="8">
        <f>VLOOKUP($C13,'Calculation engine'!$B$8:$G$35,4,FALSE)</f>
        <v>0</v>
      </c>
      <c r="S13" s="8">
        <f>VLOOKUP($C13,'Calculation engine'!$B$8:$G$35,5,FALSE)</f>
        <v>0</v>
      </c>
      <c r="T13" s="8">
        <f>VLOOKUP($C13,'Calculation engine'!$B$8:$G$35,2,FALSE)</f>
        <v>0</v>
      </c>
    </row>
    <row r="14" spans="2:20" ht="15" customHeight="1" x14ac:dyDescent="0.3">
      <c r="B14" s="155"/>
      <c r="C14" s="136" t="s">
        <v>22</v>
      </c>
      <c r="D14" s="137"/>
      <c r="E14" s="306"/>
      <c r="F14" s="138"/>
      <c r="G14" s="20" t="str">
        <f>VLOOKUP($C14,'Calculation engine'!$B$8:$G$35,6,FALSE)</f>
        <v>-</v>
      </c>
      <c r="H14" s="139"/>
      <c r="I14" s="248">
        <f t="shared" si="0"/>
        <v>0</v>
      </c>
      <c r="J14" s="248">
        <f t="shared" si="0"/>
        <v>0</v>
      </c>
      <c r="K14" s="248">
        <f t="shared" si="0"/>
        <v>0</v>
      </c>
      <c r="L14" s="203"/>
      <c r="M14" s="248">
        <f t="shared" si="1"/>
        <v>0</v>
      </c>
      <c r="N14" s="249">
        <f t="shared" si="2"/>
        <v>0</v>
      </c>
      <c r="Q14" s="8">
        <f>VLOOKUP($C14,'Calculation engine'!$B$8:$G$35,3,FALSE)</f>
        <v>0</v>
      </c>
      <c r="R14" s="8">
        <f>VLOOKUP($C14,'Calculation engine'!$B$8:$G$35,4,FALSE)</f>
        <v>0</v>
      </c>
      <c r="S14" s="8">
        <f>VLOOKUP($C14,'Calculation engine'!$B$8:$G$35,5,FALSE)</f>
        <v>0</v>
      </c>
      <c r="T14" s="8">
        <f>VLOOKUP($C14,'Calculation engine'!$B$8:$G$35,2,FALSE)</f>
        <v>0</v>
      </c>
    </row>
    <row r="15" spans="2:20" ht="15" customHeight="1" x14ac:dyDescent="0.3">
      <c r="B15" s="155"/>
      <c r="C15" s="136" t="s">
        <v>22</v>
      </c>
      <c r="D15" s="137"/>
      <c r="E15" s="306"/>
      <c r="F15" s="138"/>
      <c r="G15" s="20" t="str">
        <f>VLOOKUP($C15,'Calculation engine'!$B$8:$G$35,6,FALSE)</f>
        <v>-</v>
      </c>
      <c r="H15" s="139"/>
      <c r="I15" s="248">
        <f t="shared" si="0"/>
        <v>0</v>
      </c>
      <c r="J15" s="248">
        <f t="shared" si="0"/>
        <v>0</v>
      </c>
      <c r="K15" s="248">
        <f t="shared" si="0"/>
        <v>0</v>
      </c>
      <c r="L15" s="203"/>
      <c r="M15" s="248">
        <f t="shared" si="1"/>
        <v>0</v>
      </c>
      <c r="N15" s="249">
        <f t="shared" si="2"/>
        <v>0</v>
      </c>
      <c r="Q15" s="8">
        <f>VLOOKUP($C15,'Calculation engine'!$B$8:$G$35,3,FALSE)</f>
        <v>0</v>
      </c>
      <c r="R15" s="8">
        <f>VLOOKUP($C15,'Calculation engine'!$B$8:$G$35,4,FALSE)</f>
        <v>0</v>
      </c>
      <c r="S15" s="8">
        <f>VLOOKUP($C15,'Calculation engine'!$B$8:$G$35,5,FALSE)</f>
        <v>0</v>
      </c>
      <c r="T15" s="8">
        <f>VLOOKUP($C15,'Calculation engine'!$B$8:$G$35,2,FALSE)</f>
        <v>0</v>
      </c>
    </row>
    <row r="16" spans="2:20" ht="15" customHeight="1" x14ac:dyDescent="0.3">
      <c r="B16" s="158"/>
      <c r="C16" s="141"/>
      <c r="D16" s="141"/>
      <c r="E16" s="142"/>
      <c r="F16" s="142"/>
      <c r="G16" s="312" t="s">
        <v>23</v>
      </c>
      <c r="H16" s="312"/>
      <c r="I16" s="312"/>
      <c r="J16" s="312"/>
      <c r="K16" s="312"/>
      <c r="L16" s="312"/>
      <c r="M16" s="250">
        <f>SUM(M9:M15)</f>
        <v>0</v>
      </c>
      <c r="N16" s="251">
        <f>SUM(N9:N15)</f>
        <v>0</v>
      </c>
    </row>
    <row r="17" spans="2:20" ht="15" customHeight="1" x14ac:dyDescent="0.3">
      <c r="E17" s="20"/>
      <c r="F17" s="20"/>
      <c r="G17" s="20"/>
    </row>
    <row r="18" spans="2:20" ht="15" customHeight="1" x14ac:dyDescent="0.3">
      <c r="B18" s="126"/>
      <c r="C18" s="313" t="s">
        <v>353</v>
      </c>
      <c r="D18" s="202"/>
      <c r="E18" s="315" t="s">
        <v>5</v>
      </c>
      <c r="F18" s="202"/>
      <c r="G18" s="315" t="s">
        <v>6</v>
      </c>
      <c r="H18" s="152"/>
      <c r="I18" s="317" t="s">
        <v>24</v>
      </c>
      <c r="J18" s="317"/>
      <c r="K18" s="317"/>
      <c r="L18" s="152"/>
      <c r="M18" s="202" t="s">
        <v>8</v>
      </c>
      <c r="N18" s="63" t="s">
        <v>9</v>
      </c>
    </row>
    <row r="19" spans="2:20" ht="15.75" customHeight="1" x14ac:dyDescent="0.3">
      <c r="B19" s="153"/>
      <c r="C19" s="314"/>
      <c r="D19" s="201"/>
      <c r="E19" s="316"/>
      <c r="F19" s="201"/>
      <c r="G19" s="316"/>
      <c r="H19" s="26"/>
      <c r="I19" s="1" t="s">
        <v>11</v>
      </c>
      <c r="J19" s="1" t="s">
        <v>12</v>
      </c>
      <c r="K19" s="1" t="s">
        <v>13</v>
      </c>
      <c r="L19" s="201"/>
      <c r="M19" s="1" t="s">
        <v>14</v>
      </c>
      <c r="N19" s="154" t="s">
        <v>15</v>
      </c>
    </row>
    <row r="20" spans="2:20" ht="15" customHeight="1" x14ac:dyDescent="0.3">
      <c r="B20" s="155"/>
      <c r="C20" s="138" t="s">
        <v>16</v>
      </c>
      <c r="D20" s="138"/>
      <c r="E20" s="138" t="s">
        <v>17</v>
      </c>
      <c r="F20" s="138"/>
      <c r="G20" s="138"/>
      <c r="H20" s="137"/>
      <c r="I20" s="137"/>
      <c r="J20" s="137"/>
      <c r="K20" s="137"/>
      <c r="L20" s="137"/>
      <c r="M20" s="137"/>
      <c r="N20" s="157"/>
      <c r="Q20" s="8" t="s">
        <v>18</v>
      </c>
      <c r="R20" s="8" t="s">
        <v>19</v>
      </c>
      <c r="S20" s="8" t="s">
        <v>20</v>
      </c>
      <c r="T20" s="8" t="s">
        <v>21</v>
      </c>
    </row>
    <row r="21" spans="2:20" ht="15" customHeight="1" x14ac:dyDescent="0.3">
      <c r="B21" s="155"/>
      <c r="C21" s="136" t="s">
        <v>22</v>
      </c>
      <c r="D21" s="137"/>
      <c r="E21" s="295"/>
      <c r="F21" s="138"/>
      <c r="G21" s="20" t="str">
        <f>VLOOKUP($C21,'Calculation engine'!$I$8:$N$68,6,FALSE)</f>
        <v>-</v>
      </c>
      <c r="H21" s="139"/>
      <c r="I21" s="248">
        <f t="shared" ref="I21:K27" si="3">Q21*$N21/1000</f>
        <v>0</v>
      </c>
      <c r="J21" s="248">
        <f t="shared" si="3"/>
        <v>0</v>
      </c>
      <c r="K21" s="248">
        <f t="shared" si="3"/>
        <v>0</v>
      </c>
      <c r="L21" s="203"/>
      <c r="M21" s="248">
        <f t="shared" ref="M21:M27" si="4">SUM(I21:K21)</f>
        <v>0</v>
      </c>
      <c r="N21" s="249">
        <f t="shared" ref="N21:N27" si="5">T21*E21</f>
        <v>0</v>
      </c>
      <c r="Q21" s="8">
        <f>VLOOKUP($C21,'Calculation engine'!$I$8:$N$68,3,FALSE)</f>
        <v>0</v>
      </c>
      <c r="R21" s="8">
        <f>VLOOKUP($C21,'Calculation engine'!$I$8:$N$68,4,FALSE)</f>
        <v>0</v>
      </c>
      <c r="S21" s="8">
        <f>VLOOKUP($C21,'Calculation engine'!$I$8:$N$68,5,FALSE)</f>
        <v>0</v>
      </c>
      <c r="T21" s="8">
        <f>VLOOKUP($C21,'Calculation engine'!$I$8:$N$68,2,FALSE)</f>
        <v>0</v>
      </c>
    </row>
    <row r="22" spans="2:20" ht="14.25" customHeight="1" x14ac:dyDescent="0.3">
      <c r="B22" s="155"/>
      <c r="C22" s="136" t="s">
        <v>22</v>
      </c>
      <c r="D22" s="137"/>
      <c r="E22" s="306"/>
      <c r="F22" s="138"/>
      <c r="G22" s="20" t="str">
        <f>VLOOKUP($C22,'Calculation engine'!$I$8:$N$68,6,FALSE)</f>
        <v>-</v>
      </c>
      <c r="H22" s="139"/>
      <c r="I22" s="248">
        <f t="shared" si="3"/>
        <v>0</v>
      </c>
      <c r="J22" s="248">
        <f t="shared" si="3"/>
        <v>0</v>
      </c>
      <c r="K22" s="248">
        <f t="shared" si="3"/>
        <v>0</v>
      </c>
      <c r="L22" s="203"/>
      <c r="M22" s="248">
        <f t="shared" si="4"/>
        <v>0</v>
      </c>
      <c r="N22" s="249">
        <f t="shared" si="5"/>
        <v>0</v>
      </c>
      <c r="Q22" s="8">
        <f>VLOOKUP($C22,'Calculation engine'!$I$8:$N$68,3,FALSE)</f>
        <v>0</v>
      </c>
      <c r="R22" s="8">
        <f>VLOOKUP($C22,'Calculation engine'!$I$8:$N$68,4,FALSE)</f>
        <v>0</v>
      </c>
      <c r="S22" s="8">
        <f>VLOOKUP($C22,'Calculation engine'!$I$8:$N$68,5,FALSE)</f>
        <v>0</v>
      </c>
      <c r="T22" s="8">
        <f>VLOOKUP($C22,'Calculation engine'!$I$8:$N$68,2,FALSE)</f>
        <v>0</v>
      </c>
    </row>
    <row r="23" spans="2:20" ht="15" customHeight="1" x14ac:dyDescent="0.3">
      <c r="B23" s="155"/>
      <c r="C23" s="136" t="s">
        <v>22</v>
      </c>
      <c r="D23" s="137"/>
      <c r="E23" s="306"/>
      <c r="F23" s="138"/>
      <c r="G23" s="20" t="str">
        <f>VLOOKUP($C23,'Calculation engine'!$I$8:$N$68,6,FALSE)</f>
        <v>-</v>
      </c>
      <c r="H23" s="139"/>
      <c r="I23" s="248">
        <f t="shared" si="3"/>
        <v>0</v>
      </c>
      <c r="J23" s="248">
        <f t="shared" si="3"/>
        <v>0</v>
      </c>
      <c r="K23" s="248">
        <f t="shared" si="3"/>
        <v>0</v>
      </c>
      <c r="L23" s="203"/>
      <c r="M23" s="248">
        <f t="shared" si="4"/>
        <v>0</v>
      </c>
      <c r="N23" s="249">
        <f t="shared" si="5"/>
        <v>0</v>
      </c>
      <c r="Q23" s="8">
        <f>VLOOKUP($C23,'Calculation engine'!$I$8:$N$68,3,FALSE)</f>
        <v>0</v>
      </c>
      <c r="R23" s="8">
        <f>VLOOKUP($C23,'Calculation engine'!$I$8:$N$68,4,FALSE)</f>
        <v>0</v>
      </c>
      <c r="S23" s="8">
        <f>VLOOKUP($C23,'Calculation engine'!$I$8:$N$68,5,FALSE)</f>
        <v>0</v>
      </c>
      <c r="T23" s="8">
        <f>VLOOKUP($C23,'Calculation engine'!$I$8:$N$68,2,FALSE)</f>
        <v>0</v>
      </c>
    </row>
    <row r="24" spans="2:20" ht="15" customHeight="1" x14ac:dyDescent="0.3">
      <c r="B24" s="155"/>
      <c r="C24" s="136" t="s">
        <v>22</v>
      </c>
      <c r="D24" s="137"/>
      <c r="E24" s="306"/>
      <c r="F24" s="138"/>
      <c r="G24" s="20" t="str">
        <f>VLOOKUP($C24,'Calculation engine'!$I$8:$N$68,6,FALSE)</f>
        <v>-</v>
      </c>
      <c r="H24" s="139"/>
      <c r="I24" s="248">
        <f t="shared" si="3"/>
        <v>0</v>
      </c>
      <c r="J24" s="248">
        <f t="shared" si="3"/>
        <v>0</v>
      </c>
      <c r="K24" s="248">
        <f t="shared" si="3"/>
        <v>0</v>
      </c>
      <c r="L24" s="203"/>
      <c r="M24" s="248">
        <f t="shared" si="4"/>
        <v>0</v>
      </c>
      <c r="N24" s="249">
        <f t="shared" si="5"/>
        <v>0</v>
      </c>
      <c r="Q24" s="8">
        <f>VLOOKUP($C24,'Calculation engine'!$I$8:$N$68,3,FALSE)</f>
        <v>0</v>
      </c>
      <c r="R24" s="8">
        <f>VLOOKUP($C24,'Calculation engine'!$I$8:$N$68,4,FALSE)</f>
        <v>0</v>
      </c>
      <c r="S24" s="8">
        <f>VLOOKUP($C24,'Calculation engine'!$I$8:$N$68,5,FALSE)</f>
        <v>0</v>
      </c>
      <c r="T24" s="8">
        <f>VLOOKUP($C24,'Calculation engine'!$I$8:$N$68,2,FALSE)</f>
        <v>0</v>
      </c>
    </row>
    <row r="25" spans="2:20" ht="15" customHeight="1" x14ac:dyDescent="0.3">
      <c r="B25" s="155"/>
      <c r="C25" s="136" t="s">
        <v>22</v>
      </c>
      <c r="D25" s="137"/>
      <c r="E25" s="306"/>
      <c r="F25" s="138"/>
      <c r="G25" s="20" t="str">
        <f>VLOOKUP($C25,'Calculation engine'!$I$8:$N$68,6,FALSE)</f>
        <v>-</v>
      </c>
      <c r="H25" s="139"/>
      <c r="I25" s="248">
        <f t="shared" si="3"/>
        <v>0</v>
      </c>
      <c r="J25" s="248">
        <f t="shared" si="3"/>
        <v>0</v>
      </c>
      <c r="K25" s="248">
        <f t="shared" si="3"/>
        <v>0</v>
      </c>
      <c r="L25" s="203"/>
      <c r="M25" s="248">
        <f t="shared" si="4"/>
        <v>0</v>
      </c>
      <c r="N25" s="249">
        <f t="shared" si="5"/>
        <v>0</v>
      </c>
      <c r="Q25" s="8">
        <f>VLOOKUP($C25,'Calculation engine'!$I$8:$N$68,3,FALSE)</f>
        <v>0</v>
      </c>
      <c r="R25" s="8">
        <f>VLOOKUP($C25,'Calculation engine'!$I$8:$N$68,4,FALSE)</f>
        <v>0</v>
      </c>
      <c r="S25" s="8">
        <f>VLOOKUP($C25,'Calculation engine'!$I$8:$N$68,5,FALSE)</f>
        <v>0</v>
      </c>
      <c r="T25" s="8">
        <f>VLOOKUP($C25,'Calculation engine'!$I$8:$N$68,2,FALSE)</f>
        <v>0</v>
      </c>
    </row>
    <row r="26" spans="2:20" ht="15" customHeight="1" x14ac:dyDescent="0.3">
      <c r="B26" s="155"/>
      <c r="C26" s="136" t="s">
        <v>22</v>
      </c>
      <c r="D26" s="137"/>
      <c r="E26" s="306"/>
      <c r="F26" s="138"/>
      <c r="G26" s="20" t="str">
        <f>VLOOKUP($C26,'Calculation engine'!$I$8:$N$68,6,FALSE)</f>
        <v>-</v>
      </c>
      <c r="H26" s="139"/>
      <c r="I26" s="248">
        <f t="shared" si="3"/>
        <v>0</v>
      </c>
      <c r="J26" s="248">
        <f t="shared" si="3"/>
        <v>0</v>
      </c>
      <c r="K26" s="248">
        <f t="shared" si="3"/>
        <v>0</v>
      </c>
      <c r="L26" s="203"/>
      <c r="M26" s="248">
        <f t="shared" si="4"/>
        <v>0</v>
      </c>
      <c r="N26" s="249">
        <f t="shared" si="5"/>
        <v>0</v>
      </c>
      <c r="Q26" s="8">
        <f>VLOOKUP($C26,'Calculation engine'!$I$8:$N$68,3,FALSE)</f>
        <v>0</v>
      </c>
      <c r="R26" s="8">
        <f>VLOOKUP($C26,'Calculation engine'!$I$8:$N$68,4,FALSE)</f>
        <v>0</v>
      </c>
      <c r="S26" s="8">
        <f>VLOOKUP($C26,'Calculation engine'!$I$8:$N$68,5,FALSE)</f>
        <v>0</v>
      </c>
      <c r="T26" s="8">
        <f>VLOOKUP($C26,'Calculation engine'!$I$8:$N$68,2,FALSE)</f>
        <v>0</v>
      </c>
    </row>
    <row r="27" spans="2:20" ht="15" customHeight="1" x14ac:dyDescent="0.3">
      <c r="B27" s="155"/>
      <c r="C27" s="136" t="s">
        <v>22</v>
      </c>
      <c r="D27" s="137"/>
      <c r="E27" s="306"/>
      <c r="F27" s="138"/>
      <c r="G27" s="20" t="str">
        <f>VLOOKUP($C27,'Calculation engine'!$I$8:$N$68,6,FALSE)</f>
        <v>-</v>
      </c>
      <c r="H27" s="139"/>
      <c r="I27" s="248">
        <f t="shared" si="3"/>
        <v>0</v>
      </c>
      <c r="J27" s="248">
        <f t="shared" si="3"/>
        <v>0</v>
      </c>
      <c r="K27" s="248">
        <f t="shared" si="3"/>
        <v>0</v>
      </c>
      <c r="L27" s="203"/>
      <c r="M27" s="248">
        <f t="shared" si="4"/>
        <v>0</v>
      </c>
      <c r="N27" s="249">
        <f t="shared" si="5"/>
        <v>0</v>
      </c>
      <c r="Q27" s="8">
        <f>VLOOKUP($C27,'Calculation engine'!$I$8:$N$68,3,FALSE)</f>
        <v>0</v>
      </c>
      <c r="R27" s="8">
        <f>VLOOKUP($C27,'Calculation engine'!$I$8:$N$68,4,FALSE)</f>
        <v>0</v>
      </c>
      <c r="S27" s="8">
        <f>VLOOKUP($C27,'Calculation engine'!$I$8:$N$68,5,FALSE)</f>
        <v>0</v>
      </c>
      <c r="T27" s="8">
        <f>VLOOKUP($C27,'Calculation engine'!$I$8:$N$68,2,FALSE)</f>
        <v>0</v>
      </c>
    </row>
    <row r="28" spans="2:20" ht="15" customHeight="1" x14ac:dyDescent="0.3">
      <c r="B28" s="158"/>
      <c r="C28" s="141"/>
      <c r="D28" s="141"/>
      <c r="E28" s="142"/>
      <c r="F28" s="142"/>
      <c r="G28" s="312" t="s">
        <v>25</v>
      </c>
      <c r="H28" s="312"/>
      <c r="I28" s="312"/>
      <c r="J28" s="312"/>
      <c r="K28" s="312"/>
      <c r="L28" s="312"/>
      <c r="M28" s="250">
        <f>SUM(M21:M27)</f>
        <v>0</v>
      </c>
      <c r="N28" s="251">
        <f>SUM(N21:N27)</f>
        <v>0</v>
      </c>
    </row>
    <row r="29" spans="2:20" ht="15" customHeight="1" x14ac:dyDescent="0.3">
      <c r="E29" s="20"/>
      <c r="F29" s="20"/>
      <c r="G29" s="20"/>
    </row>
    <row r="30" spans="2:20" ht="15" customHeight="1" x14ac:dyDescent="0.3">
      <c r="B30" s="126"/>
      <c r="C30" s="313" t="s">
        <v>354</v>
      </c>
      <c r="D30" s="202"/>
      <c r="E30" s="315" t="s">
        <v>5</v>
      </c>
      <c r="F30" s="202"/>
      <c r="G30" s="315" t="s">
        <v>6</v>
      </c>
      <c r="H30" s="152"/>
      <c r="I30" s="317" t="s">
        <v>26</v>
      </c>
      <c r="J30" s="317"/>
      <c r="K30" s="317"/>
      <c r="L30" s="152"/>
      <c r="M30" s="202" t="s">
        <v>27</v>
      </c>
      <c r="N30" s="63" t="s">
        <v>9</v>
      </c>
    </row>
    <row r="31" spans="2:20" ht="15" customHeight="1" x14ac:dyDescent="0.3">
      <c r="B31" s="153"/>
      <c r="C31" s="314"/>
      <c r="D31" s="201"/>
      <c r="E31" s="316"/>
      <c r="F31" s="201"/>
      <c r="G31" s="316"/>
      <c r="H31" s="26"/>
      <c r="I31" s="1" t="s">
        <v>28</v>
      </c>
      <c r="J31" s="1"/>
      <c r="K31" s="26"/>
      <c r="L31" s="201"/>
      <c r="M31" s="1" t="s">
        <v>14</v>
      </c>
      <c r="N31" s="154" t="s">
        <v>15</v>
      </c>
      <c r="Q31" s="2" t="s">
        <v>29</v>
      </c>
    </row>
    <row r="32" spans="2:20" ht="15" customHeight="1" x14ac:dyDescent="0.3">
      <c r="B32" s="155"/>
      <c r="C32" s="138" t="s">
        <v>30</v>
      </c>
      <c r="D32" s="138"/>
      <c r="E32" s="138" t="s">
        <v>17</v>
      </c>
      <c r="F32" s="138"/>
      <c r="G32" s="138"/>
      <c r="H32" s="137"/>
      <c r="I32" s="137"/>
      <c r="J32" s="137"/>
      <c r="K32" s="137"/>
      <c r="L32" s="137"/>
      <c r="M32" s="137"/>
      <c r="N32" s="157"/>
      <c r="Q32" s="1" t="s">
        <v>21</v>
      </c>
    </row>
    <row r="33" spans="2:20" ht="15" customHeight="1" x14ac:dyDescent="0.3">
      <c r="B33" s="155"/>
      <c r="C33" s="136" t="s">
        <v>22</v>
      </c>
      <c r="D33" s="137"/>
      <c r="E33" s="295"/>
      <c r="F33" s="138"/>
      <c r="G33" s="20" t="s">
        <v>31</v>
      </c>
      <c r="I33" s="230">
        <f>VLOOKUP($C33,'Calculation engine'!$Q$10:$T$19,2,FALSE)</f>
        <v>0</v>
      </c>
      <c r="J33" s="324" t="str">
        <f>IF(C33="Not purchased from the main grid","You can enter a custom factor for EF","")</f>
        <v/>
      </c>
      <c r="K33" s="324"/>
      <c r="L33" s="324"/>
      <c r="M33" s="248">
        <f>E33*I33/1000</f>
        <v>0</v>
      </c>
      <c r="N33" s="249">
        <f>E33*Q34</f>
        <v>0</v>
      </c>
      <c r="Q33" s="3"/>
    </row>
    <row r="34" spans="2:20" ht="15.75" customHeight="1" x14ac:dyDescent="0.3">
      <c r="B34" s="155"/>
      <c r="C34" s="136" t="s">
        <v>22</v>
      </c>
      <c r="D34" s="137"/>
      <c r="E34" s="296"/>
      <c r="F34" s="138"/>
      <c r="G34" s="20" t="s">
        <v>31</v>
      </c>
      <c r="I34" s="230">
        <f>VLOOKUP($C34,'Calculation engine'!$Q$10:$T$19,2,FALSE)</f>
        <v>0</v>
      </c>
      <c r="J34" s="323" t="str">
        <f>IF(C34="Not purchased from the main grid","You can enter a custom factor for EF","")</f>
        <v/>
      </c>
      <c r="K34" s="323"/>
      <c r="L34" s="323"/>
      <c r="M34" s="248">
        <f>E34*I34/1000</f>
        <v>0</v>
      </c>
      <c r="N34" s="249">
        <f>E34*Q35</f>
        <v>0</v>
      </c>
      <c r="Q34" s="4">
        <f>VLOOKUP($C33,'Calculation engine'!$Q$10:$T$19,3,FALSE)</f>
        <v>0</v>
      </c>
    </row>
    <row r="35" spans="2:20" ht="16.5" customHeight="1" x14ac:dyDescent="0.3">
      <c r="B35" s="158"/>
      <c r="C35" s="141"/>
      <c r="D35" s="141"/>
      <c r="E35" s="142"/>
      <c r="F35" s="142"/>
      <c r="G35" s="312" t="s">
        <v>32</v>
      </c>
      <c r="H35" s="312"/>
      <c r="I35" s="312"/>
      <c r="J35" s="312"/>
      <c r="K35" s="312"/>
      <c r="L35" s="312"/>
      <c r="M35" s="250">
        <f>SUM(M33:M34)</f>
        <v>0</v>
      </c>
      <c r="N35" s="251">
        <f>SUM(N33:N34)</f>
        <v>0</v>
      </c>
      <c r="Q35" s="4">
        <f>VLOOKUP($C34,'Calculation engine'!$Q$10:$T$19,3,FALSE)</f>
        <v>0</v>
      </c>
    </row>
    <row r="36" spans="2:20" ht="15" customHeight="1" x14ac:dyDescent="0.3">
      <c r="E36" s="20"/>
      <c r="F36" s="20"/>
      <c r="G36" s="160"/>
      <c r="H36" s="160"/>
      <c r="I36" s="160"/>
      <c r="J36" s="160"/>
      <c r="K36" s="160"/>
      <c r="L36" s="160"/>
      <c r="M36" s="24"/>
      <c r="N36" s="24"/>
    </row>
    <row r="37" spans="2:20" ht="15" customHeight="1" x14ac:dyDescent="0.3">
      <c r="B37" s="126"/>
      <c r="C37" s="313" t="s">
        <v>355</v>
      </c>
      <c r="D37" s="202"/>
      <c r="E37" s="315" t="s">
        <v>5</v>
      </c>
      <c r="F37" s="202"/>
      <c r="G37" s="315" t="s">
        <v>6</v>
      </c>
      <c r="H37" s="152"/>
      <c r="I37" s="317"/>
      <c r="J37" s="317"/>
      <c r="K37" s="317"/>
      <c r="L37" s="152"/>
      <c r="M37" s="202"/>
      <c r="N37" s="63" t="s">
        <v>9</v>
      </c>
    </row>
    <row r="38" spans="2:20" ht="15" customHeight="1" x14ac:dyDescent="0.3">
      <c r="B38" s="153"/>
      <c r="C38" s="314"/>
      <c r="D38" s="201"/>
      <c r="E38" s="316"/>
      <c r="F38" s="201"/>
      <c r="G38" s="316"/>
      <c r="H38" s="26"/>
      <c r="I38" s="1"/>
      <c r="J38" s="1"/>
      <c r="K38" s="26"/>
      <c r="L38" s="201"/>
      <c r="M38" s="1"/>
      <c r="N38" s="154" t="s">
        <v>15</v>
      </c>
    </row>
    <row r="39" spans="2:20" ht="15" customHeight="1" x14ac:dyDescent="0.3">
      <c r="B39" s="155"/>
      <c r="C39" s="138" t="s">
        <v>33</v>
      </c>
      <c r="D39" s="138"/>
      <c r="E39" s="138" t="s">
        <v>17</v>
      </c>
      <c r="F39" s="138"/>
      <c r="G39" s="138"/>
      <c r="H39" s="137"/>
      <c r="I39" s="137"/>
      <c r="J39" s="137"/>
      <c r="K39" s="137"/>
      <c r="L39" s="137"/>
      <c r="M39" s="137"/>
      <c r="N39" s="157"/>
      <c r="Q39" s="8" t="s">
        <v>18</v>
      </c>
      <c r="R39" s="8" t="s">
        <v>19</v>
      </c>
      <c r="S39" s="8" t="s">
        <v>20</v>
      </c>
      <c r="T39" s="8" t="s">
        <v>21</v>
      </c>
    </row>
    <row r="40" spans="2:20" ht="15" customHeight="1" x14ac:dyDescent="0.3">
      <c r="B40" s="155"/>
      <c r="C40" s="136" t="s">
        <v>22</v>
      </c>
      <c r="D40" s="137"/>
      <c r="E40" s="295"/>
      <c r="F40" s="138"/>
      <c r="G40" s="20" t="str">
        <f>VLOOKUP($C40,'Calculation engine'!$AD$8:$AI$84,6,FALSE)</f>
        <v>-</v>
      </c>
      <c r="I40" s="22"/>
      <c r="J40" s="22"/>
      <c r="K40" s="161"/>
      <c r="L40" s="22"/>
      <c r="M40" s="22">
        <f>E40*I40/1000</f>
        <v>0</v>
      </c>
      <c r="N40" s="249">
        <f>T40*E40</f>
        <v>0</v>
      </c>
      <c r="Q40" s="8"/>
      <c r="R40" s="8"/>
      <c r="S40" s="8"/>
      <c r="T40" s="8">
        <f>VLOOKUP($C40,'Calculation engine'!$AD$8:$AI$84,5,FALSE)</f>
        <v>0</v>
      </c>
    </row>
    <row r="41" spans="2:20" ht="15" customHeight="1" x14ac:dyDescent="0.3">
      <c r="B41" s="155"/>
      <c r="C41" s="136" t="s">
        <v>22</v>
      </c>
      <c r="D41" s="137"/>
      <c r="E41" s="297"/>
      <c r="F41" s="138"/>
      <c r="G41" s="20" t="str">
        <f>VLOOKUP($C41,'Calculation engine'!$AD$8:$AI$84,6,FALSE)</f>
        <v>-</v>
      </c>
      <c r="I41" s="22"/>
      <c r="J41" s="22"/>
      <c r="K41" s="161"/>
      <c r="L41" s="22"/>
      <c r="M41" s="22"/>
      <c r="N41" s="249">
        <f>T41*E41</f>
        <v>0</v>
      </c>
      <c r="Q41" s="8"/>
      <c r="R41" s="8"/>
      <c r="S41" s="8"/>
      <c r="T41" s="8">
        <f>VLOOKUP($C41,'Calculation engine'!$AD$8:$AI$84,5,FALSE)</f>
        <v>0</v>
      </c>
    </row>
    <row r="42" spans="2:20" ht="15" customHeight="1" x14ac:dyDescent="0.3">
      <c r="B42" s="155"/>
      <c r="C42" s="136" t="s">
        <v>22</v>
      </c>
      <c r="D42" s="137"/>
      <c r="E42" s="296"/>
      <c r="F42" s="138"/>
      <c r="G42" s="20" t="str">
        <f>VLOOKUP($C42,'Calculation engine'!$AD$8:$AI$84,6,FALSE)</f>
        <v>-</v>
      </c>
      <c r="I42" s="22"/>
      <c r="J42" s="322"/>
      <c r="K42" s="322"/>
      <c r="L42" s="22"/>
      <c r="M42" s="22">
        <f>E42*I42/1000</f>
        <v>0</v>
      </c>
      <c r="N42" s="249">
        <f>T42*E42</f>
        <v>0</v>
      </c>
      <c r="Q42" s="8"/>
      <c r="R42" s="8"/>
      <c r="S42" s="8"/>
      <c r="T42" s="8">
        <f>VLOOKUP($C42,'Calculation engine'!$AD$8:$AI$84,5,FALSE)</f>
        <v>0</v>
      </c>
    </row>
    <row r="43" spans="2:20" ht="15" customHeight="1" x14ac:dyDescent="0.3">
      <c r="B43" s="158"/>
      <c r="C43" s="141"/>
      <c r="D43" s="141"/>
      <c r="E43" s="142"/>
      <c r="F43" s="142"/>
      <c r="G43" s="312" t="s">
        <v>34</v>
      </c>
      <c r="H43" s="312"/>
      <c r="I43" s="312"/>
      <c r="J43" s="312"/>
      <c r="K43" s="312"/>
      <c r="L43" s="312"/>
      <c r="M43" s="162"/>
      <c r="N43" s="251">
        <f>SUM(N40:N42)</f>
        <v>0</v>
      </c>
    </row>
    <row r="44" spans="2:20" ht="15" customHeight="1" x14ac:dyDescent="0.3">
      <c r="E44" s="20"/>
      <c r="F44" s="20"/>
      <c r="G44" s="160"/>
      <c r="H44" s="160"/>
      <c r="I44" s="160"/>
      <c r="J44" s="160"/>
      <c r="K44" s="160"/>
      <c r="L44" s="160"/>
      <c r="M44" s="24"/>
      <c r="N44" s="24"/>
    </row>
    <row r="45" spans="2:20" ht="15" customHeight="1" x14ac:dyDescent="0.3">
      <c r="B45" s="126"/>
      <c r="C45" s="313" t="s">
        <v>356</v>
      </c>
      <c r="D45" s="202"/>
      <c r="E45" s="315" t="s">
        <v>5</v>
      </c>
      <c r="F45" s="202"/>
      <c r="G45" s="315" t="s">
        <v>6</v>
      </c>
      <c r="H45" s="152"/>
      <c r="I45" s="317"/>
      <c r="J45" s="317"/>
      <c r="K45" s="317"/>
      <c r="L45" s="152"/>
      <c r="M45" s="202"/>
      <c r="N45" s="63" t="s">
        <v>9</v>
      </c>
    </row>
    <row r="46" spans="2:20" ht="15" customHeight="1" x14ac:dyDescent="0.3">
      <c r="B46" s="153"/>
      <c r="C46" s="314"/>
      <c r="D46" s="201"/>
      <c r="E46" s="316"/>
      <c r="F46" s="201"/>
      <c r="G46" s="316"/>
      <c r="H46" s="26"/>
      <c r="I46" s="1"/>
      <c r="J46" s="1"/>
      <c r="K46" s="26"/>
      <c r="L46" s="201"/>
      <c r="M46" s="1"/>
      <c r="N46" s="154" t="s">
        <v>15</v>
      </c>
    </row>
    <row r="47" spans="2:20" ht="15" customHeight="1" x14ac:dyDescent="0.3">
      <c r="B47" s="155"/>
      <c r="C47" s="138" t="s">
        <v>35</v>
      </c>
      <c r="D47" s="138"/>
      <c r="E47" s="138" t="s">
        <v>17</v>
      </c>
      <c r="F47" s="138"/>
      <c r="G47" s="138"/>
      <c r="H47" s="137"/>
      <c r="I47" s="137"/>
      <c r="J47" s="137"/>
      <c r="K47" s="137"/>
      <c r="L47" s="137"/>
      <c r="M47" s="137"/>
      <c r="N47" s="157"/>
      <c r="Q47" s="8" t="s">
        <v>18</v>
      </c>
      <c r="R47" s="8" t="s">
        <v>19</v>
      </c>
      <c r="S47" s="8" t="s">
        <v>20</v>
      </c>
      <c r="T47" s="8" t="s">
        <v>21</v>
      </c>
    </row>
    <row r="48" spans="2:20" ht="15" customHeight="1" x14ac:dyDescent="0.3">
      <c r="B48" s="155"/>
      <c r="C48" s="136" t="s">
        <v>22</v>
      </c>
      <c r="D48" s="137"/>
      <c r="E48" s="295"/>
      <c r="F48" s="138"/>
      <c r="G48" s="20" t="str">
        <f>VLOOKUP($C48,'Calculation engine'!$W$8:$AB$78,6,FALSE)</f>
        <v>-</v>
      </c>
      <c r="I48" s="22"/>
      <c r="J48" s="22"/>
      <c r="K48" s="161"/>
      <c r="L48" s="22"/>
      <c r="M48" s="22">
        <f>E48*I48/1000</f>
        <v>0</v>
      </c>
      <c r="N48" s="249">
        <f>T48*E48</f>
        <v>0</v>
      </c>
      <c r="Q48" s="8"/>
      <c r="R48" s="8"/>
      <c r="S48" s="8"/>
      <c r="T48" s="8">
        <f>VLOOKUP($C48,'Calculation engine'!$W$8:$AB$78,5,FALSE)</f>
        <v>0</v>
      </c>
    </row>
    <row r="49" spans="2:20" ht="15" customHeight="1" x14ac:dyDescent="0.3">
      <c r="B49" s="155"/>
      <c r="C49" s="136" t="s">
        <v>22</v>
      </c>
      <c r="D49" s="137"/>
      <c r="E49" s="297"/>
      <c r="F49" s="138"/>
      <c r="G49" s="20" t="str">
        <f>VLOOKUP($C49,'Calculation engine'!$W$8:$AB$78,6,FALSE)</f>
        <v>-</v>
      </c>
      <c r="I49" s="22"/>
      <c r="J49" s="22"/>
      <c r="K49" s="161"/>
      <c r="L49" s="22"/>
      <c r="M49" s="22"/>
      <c r="N49" s="249">
        <f>T49*E49</f>
        <v>0</v>
      </c>
      <c r="Q49" s="8"/>
      <c r="R49" s="8"/>
      <c r="S49" s="8"/>
      <c r="T49" s="8">
        <f>VLOOKUP($C49,'Calculation engine'!$W$8:$AB$78,5,FALSE)</f>
        <v>0</v>
      </c>
    </row>
    <row r="50" spans="2:20" ht="15" customHeight="1" x14ac:dyDescent="0.3">
      <c r="B50" s="155"/>
      <c r="C50" s="136" t="s">
        <v>22</v>
      </c>
      <c r="D50" s="137"/>
      <c r="E50" s="296"/>
      <c r="F50" s="138"/>
      <c r="G50" s="20" t="str">
        <f>VLOOKUP($C50,'Calculation engine'!$W$8:$AB$78,6,FALSE)</f>
        <v>-</v>
      </c>
      <c r="I50" s="22"/>
      <c r="J50" s="322"/>
      <c r="K50" s="322"/>
      <c r="L50" s="22"/>
      <c r="M50" s="22">
        <f>E50*I50/1000</f>
        <v>0</v>
      </c>
      <c r="N50" s="249">
        <f>T50*E50</f>
        <v>0</v>
      </c>
      <c r="Q50" s="8"/>
      <c r="R50" s="8"/>
      <c r="S50" s="8"/>
      <c r="T50" s="8">
        <f>VLOOKUP($C50,'Calculation engine'!$W$8:$AB$78,5,FALSE)</f>
        <v>0</v>
      </c>
    </row>
    <row r="51" spans="2:20" ht="15" customHeight="1" x14ac:dyDescent="0.3">
      <c r="B51" s="158"/>
      <c r="C51" s="141"/>
      <c r="D51" s="141"/>
      <c r="E51" s="142"/>
      <c r="F51" s="142"/>
      <c r="G51" s="312" t="s">
        <v>36</v>
      </c>
      <c r="H51" s="312"/>
      <c r="I51" s="312"/>
      <c r="J51" s="312"/>
      <c r="K51" s="312"/>
      <c r="L51" s="312"/>
      <c r="M51" s="162"/>
      <c r="N51" s="251">
        <f>SUM(N48:N50)</f>
        <v>0</v>
      </c>
    </row>
    <row r="52" spans="2:20" ht="15" customHeight="1" x14ac:dyDescent="0.3">
      <c r="E52" s="20"/>
      <c r="F52" s="20"/>
      <c r="G52" s="160"/>
      <c r="H52" s="160"/>
      <c r="I52" s="160"/>
      <c r="J52" s="160"/>
      <c r="K52" s="160"/>
      <c r="L52" s="160"/>
      <c r="M52" s="24"/>
      <c r="N52" s="197"/>
    </row>
    <row r="53" spans="2:20" ht="15" customHeight="1" x14ac:dyDescent="0.35">
      <c r="B53" s="126"/>
      <c r="C53" s="313" t="s">
        <v>357</v>
      </c>
      <c r="D53" s="202"/>
      <c r="E53" s="315"/>
      <c r="F53" s="202"/>
      <c r="G53" s="315"/>
      <c r="H53" s="152"/>
      <c r="I53" s="317" t="s">
        <v>37</v>
      </c>
      <c r="J53" s="317"/>
      <c r="K53" s="317"/>
      <c r="L53" s="152"/>
      <c r="M53" s="202" t="s">
        <v>8</v>
      </c>
      <c r="N53" s="63"/>
    </row>
    <row r="54" spans="2:20" ht="15" customHeight="1" x14ac:dyDescent="0.3">
      <c r="B54" s="153"/>
      <c r="C54" s="314"/>
      <c r="D54" s="201"/>
      <c r="E54" s="316"/>
      <c r="F54" s="201"/>
      <c r="G54" s="316"/>
      <c r="H54" s="26"/>
      <c r="I54" s="1" t="s">
        <v>11</v>
      </c>
      <c r="J54" s="1" t="s">
        <v>12</v>
      </c>
      <c r="K54" s="1" t="s">
        <v>13</v>
      </c>
      <c r="L54" s="201"/>
      <c r="M54" s="1" t="s">
        <v>14</v>
      </c>
      <c r="N54" s="154"/>
    </row>
    <row r="55" spans="2:20" ht="15" customHeight="1" x14ac:dyDescent="0.3">
      <c r="B55" s="155"/>
      <c r="C55" s="138" t="s">
        <v>38</v>
      </c>
      <c r="D55" s="138"/>
      <c r="E55" s="138"/>
      <c r="F55" s="138"/>
      <c r="G55" s="138"/>
      <c r="H55" s="137"/>
      <c r="I55" s="137"/>
      <c r="J55" s="137"/>
      <c r="K55" s="137"/>
      <c r="L55" s="137"/>
      <c r="M55" s="198"/>
      <c r="N55" s="157"/>
      <c r="Q55" s="2">
        <v>0</v>
      </c>
    </row>
    <row r="56" spans="2:20" s="9" customFormat="1" ht="15" customHeight="1" x14ac:dyDescent="0.3">
      <c r="B56" s="155"/>
      <c r="C56" s="159"/>
      <c r="D56" s="137"/>
      <c r="E56" s="217"/>
      <c r="F56" s="138"/>
      <c r="G56" s="138"/>
      <c r="H56" s="156"/>
      <c r="I56" s="199">
        <v>0</v>
      </c>
      <c r="J56" s="199">
        <v>0</v>
      </c>
      <c r="K56" s="199">
        <v>0</v>
      </c>
      <c r="L56" s="203"/>
      <c r="M56" s="248">
        <f>SUM(I56:K56)</f>
        <v>0</v>
      </c>
      <c r="N56" s="140"/>
      <c r="Q56" s="9">
        <v>25000</v>
      </c>
    </row>
    <row r="57" spans="2:20" s="9" customFormat="1" ht="15" customHeight="1" x14ac:dyDescent="0.3">
      <c r="B57" s="155"/>
      <c r="C57" s="159"/>
      <c r="D57" s="137"/>
      <c r="E57" s="217"/>
      <c r="F57" s="138"/>
      <c r="G57" s="138"/>
      <c r="H57" s="156"/>
      <c r="I57" s="199">
        <v>0</v>
      </c>
      <c r="J57" s="199">
        <v>0</v>
      </c>
      <c r="K57" s="199">
        <v>0</v>
      </c>
      <c r="L57" s="203"/>
      <c r="M57" s="248">
        <f>SUM(I57:K57)</f>
        <v>0</v>
      </c>
      <c r="N57" s="140"/>
    </row>
    <row r="58" spans="2:20" s="9" customFormat="1" ht="15" customHeight="1" x14ac:dyDescent="0.3">
      <c r="B58" s="158"/>
      <c r="C58" s="141"/>
      <c r="D58" s="141"/>
      <c r="E58" s="142"/>
      <c r="F58" s="142"/>
      <c r="G58" s="312" t="s">
        <v>39</v>
      </c>
      <c r="H58" s="312"/>
      <c r="I58" s="312"/>
      <c r="J58" s="312"/>
      <c r="K58" s="312"/>
      <c r="L58" s="312"/>
      <c r="M58" s="250">
        <f>SUM(M56:M57)</f>
        <v>0</v>
      </c>
      <c r="N58" s="143"/>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6"/>
      <c r="C60" s="325" t="s">
        <v>358</v>
      </c>
      <c r="D60" s="327" t="s">
        <v>40</v>
      </c>
      <c r="E60" s="327"/>
      <c r="F60" s="327"/>
      <c r="G60" s="327"/>
      <c r="H60" s="163"/>
      <c r="I60" s="163"/>
      <c r="J60" s="164"/>
      <c r="K60" s="164"/>
      <c r="L60" s="327" t="s">
        <v>41</v>
      </c>
      <c r="M60" s="327"/>
      <c r="N60" s="165"/>
    </row>
    <row r="61" spans="2:20" s="9" customFormat="1" ht="15" customHeight="1" x14ac:dyDescent="0.3">
      <c r="B61" s="144"/>
      <c r="C61" s="314"/>
      <c r="D61" s="316"/>
      <c r="E61" s="316"/>
      <c r="F61" s="316"/>
      <c r="G61" s="316"/>
      <c r="H61" s="26"/>
      <c r="I61" s="1"/>
      <c r="J61" s="166"/>
      <c r="K61" s="166"/>
      <c r="L61" s="316"/>
      <c r="M61" s="316"/>
      <c r="N61" s="167"/>
    </row>
    <row r="62" spans="2:20" s="9" customFormat="1" ht="15" customHeight="1" x14ac:dyDescent="0.3">
      <c r="B62" s="144"/>
      <c r="C62" s="65" t="s">
        <v>42</v>
      </c>
      <c r="D62" s="331">
        <f>M16+M28+M58</f>
        <v>0</v>
      </c>
      <c r="E62" s="331"/>
      <c r="F62" s="20"/>
      <c r="G62" s="9" t="s">
        <v>43</v>
      </c>
      <c r="L62" s="247">
        <f>IFERROR((D62/'Facility 3'!$N$4)*Output!$N$2,0)</f>
        <v>0</v>
      </c>
      <c r="M62" s="190" t="s">
        <v>43</v>
      </c>
      <c r="N62" s="145"/>
    </row>
    <row r="63" spans="2:20" s="9" customFormat="1" ht="15" customHeight="1" x14ac:dyDescent="0.3">
      <c r="B63" s="146"/>
      <c r="C63" s="65" t="s">
        <v>44</v>
      </c>
      <c r="D63" s="331">
        <f>M35</f>
        <v>0</v>
      </c>
      <c r="E63" s="331"/>
      <c r="F63" s="20"/>
      <c r="G63" s="9" t="s">
        <v>43</v>
      </c>
      <c r="L63" s="247">
        <f>IFERROR((D63/'Facility 3'!$N$4)*Output!$N$2,0)</f>
        <v>0</v>
      </c>
      <c r="M63" s="190" t="s">
        <v>43</v>
      </c>
      <c r="N63" s="49"/>
    </row>
    <row r="64" spans="2:20" ht="15" customHeight="1" x14ac:dyDescent="0.3">
      <c r="B64" s="146"/>
      <c r="C64" s="14" t="s">
        <v>45</v>
      </c>
      <c r="D64" s="337">
        <f>D62+D63</f>
        <v>0</v>
      </c>
      <c r="E64" s="338"/>
      <c r="F64" s="20"/>
      <c r="G64" s="191" t="s">
        <v>46</v>
      </c>
      <c r="H64" s="191"/>
      <c r="I64" s="9"/>
      <c r="J64" s="9"/>
      <c r="K64" s="9"/>
      <c r="L64" s="252">
        <f>IFERROR((D64/'Facility 3'!$N$4)*Output!$N$2,0)</f>
        <v>0</v>
      </c>
      <c r="M64" s="192" t="s">
        <v>46</v>
      </c>
      <c r="N64" s="211"/>
    </row>
    <row r="65" spans="2:14" ht="15" customHeight="1" x14ac:dyDescent="0.3">
      <c r="B65" s="146"/>
      <c r="C65" s="15" t="s">
        <v>47</v>
      </c>
      <c r="D65" s="339">
        <f>N16+N28+N35+N43</f>
        <v>0</v>
      </c>
      <c r="E65" s="340"/>
      <c r="F65" s="193"/>
      <c r="G65" s="51" t="s">
        <v>48</v>
      </c>
      <c r="H65" s="51"/>
      <c r="I65" s="194"/>
      <c r="J65" s="194"/>
      <c r="K65" s="194"/>
      <c r="L65" s="252">
        <f>IFERROR((D65/'Facility 3'!$N$4)*Output!$N$2,0)</f>
        <v>0</v>
      </c>
      <c r="M65" s="85" t="s">
        <v>48</v>
      </c>
      <c r="N65" s="55"/>
    </row>
    <row r="66" spans="2:14" ht="15" customHeight="1" x14ac:dyDescent="0.3">
      <c r="B66" s="147"/>
      <c r="C66" s="17" t="s">
        <v>49</v>
      </c>
      <c r="D66" s="341">
        <f>N51</f>
        <v>0</v>
      </c>
      <c r="E66" s="342"/>
      <c r="F66" s="195"/>
      <c r="G66" s="57" t="s">
        <v>48</v>
      </c>
      <c r="H66" s="57"/>
      <c r="I66" s="196"/>
      <c r="J66" s="196"/>
      <c r="K66" s="196"/>
      <c r="L66" s="253">
        <f>IFERROR((D66/'Facility 3'!$N$4)*Output!$N$2,0)</f>
        <v>0</v>
      </c>
      <c r="M66" s="86"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48"/>
      <c r="C68" s="325" t="s">
        <v>359</v>
      </c>
      <c r="D68" s="325"/>
      <c r="E68" s="325"/>
      <c r="F68" s="325"/>
      <c r="G68" s="325"/>
      <c r="H68" s="325"/>
      <c r="I68" s="325"/>
      <c r="J68" s="325"/>
      <c r="K68" s="325"/>
      <c r="L68" s="325"/>
      <c r="M68" s="325"/>
      <c r="N68" s="329"/>
    </row>
    <row r="69" spans="2:14" ht="15" customHeight="1" x14ac:dyDescent="0.3">
      <c r="B69" s="18"/>
      <c r="C69" s="314"/>
      <c r="D69" s="314"/>
      <c r="E69" s="314"/>
      <c r="F69" s="314"/>
      <c r="G69" s="314"/>
      <c r="H69" s="314"/>
      <c r="I69" s="314"/>
      <c r="J69" s="314"/>
      <c r="K69" s="314"/>
      <c r="L69" s="314"/>
      <c r="M69" s="314"/>
      <c r="N69" s="330"/>
    </row>
    <row r="70" spans="2:14" ht="15" customHeight="1" x14ac:dyDescent="0.3">
      <c r="B70" s="19"/>
      <c r="C70" s="326" t="s">
        <v>50</v>
      </c>
      <c r="D70" s="30"/>
      <c r="E70" s="31" t="s">
        <v>51</v>
      </c>
      <c r="F70" s="336" t="str">
        <f>IF(L64&gt;=25000,"You may have triggered the emissions reporting threshold for this facility. Please contact the Clean Energy Regulator",IF(L64&gt;21000, "You are close to the emissions reporting threshold for this facility. Please contact the Clean Energy Regulator",""))</f>
        <v/>
      </c>
      <c r="G70" s="336"/>
      <c r="H70" s="336"/>
      <c r="I70" s="336"/>
      <c r="J70" s="336"/>
      <c r="K70" s="336"/>
      <c r="L70" s="336"/>
      <c r="M70" s="336"/>
      <c r="N70" s="32" t="s">
        <v>52</v>
      </c>
    </row>
    <row r="71" spans="2:14" ht="15" customHeight="1" x14ac:dyDescent="0.35">
      <c r="B71" s="144"/>
      <c r="C71" s="326"/>
      <c r="D71" s="33"/>
      <c r="E71" s="332">
        <f>L64</f>
        <v>0</v>
      </c>
      <c r="F71" s="332"/>
      <c r="G71" s="332"/>
      <c r="H71" s="332"/>
      <c r="I71" s="332"/>
      <c r="J71" s="332"/>
      <c r="K71" s="332"/>
      <c r="L71" s="332"/>
      <c r="M71" s="332"/>
      <c r="N71" s="333"/>
    </row>
    <row r="72" spans="2:14" ht="15" customHeight="1" x14ac:dyDescent="0.35">
      <c r="B72" s="144"/>
      <c r="C72" s="326" t="s">
        <v>53</v>
      </c>
      <c r="D72" s="33"/>
      <c r="E72" s="34" t="s">
        <v>54</v>
      </c>
      <c r="F72" s="343" t="str">
        <f>IF(L65&gt;=100000,"You may have triggered the energy reporting threshold for this facility. Please contact the Clean Energy Regulator",IF(L65&gt;90000, "You are close to the energy reporting threshold for this facility. Please contact the Clean Energy Regulator",""))</f>
        <v/>
      </c>
      <c r="G72" s="343"/>
      <c r="H72" s="343"/>
      <c r="I72" s="343"/>
      <c r="J72" s="343"/>
      <c r="K72" s="343"/>
      <c r="L72" s="343"/>
      <c r="M72" s="343"/>
      <c r="N72" s="35" t="s">
        <v>55</v>
      </c>
    </row>
    <row r="73" spans="2:14" ht="17.55" customHeight="1" x14ac:dyDescent="0.3">
      <c r="B73" s="144"/>
      <c r="C73" s="326"/>
      <c r="E73" s="332">
        <f>L65</f>
        <v>0</v>
      </c>
      <c r="F73" s="332"/>
      <c r="G73" s="332"/>
      <c r="H73" s="332"/>
      <c r="I73" s="332"/>
      <c r="J73" s="332"/>
      <c r="K73" s="332"/>
      <c r="L73" s="332"/>
      <c r="M73" s="332"/>
      <c r="N73" s="333"/>
    </row>
    <row r="74" spans="2:14" ht="17.55" customHeight="1" x14ac:dyDescent="0.3">
      <c r="B74" s="144"/>
      <c r="C74" s="326" t="s">
        <v>56</v>
      </c>
      <c r="E74" s="34" t="s">
        <v>54</v>
      </c>
      <c r="F74" s="343" t="str">
        <f>IF(L66&gt;=100000,"You may have triggered the energy reporting threshold for this facility. Please contact the Clean Energy Regulator",IF(L66&gt;90000, "You are close to the energy reporting threshold for this facility. Please contact the Clean Energy Regulator",""))</f>
        <v/>
      </c>
      <c r="G74" s="343"/>
      <c r="H74" s="343"/>
      <c r="I74" s="343"/>
      <c r="J74" s="343"/>
      <c r="K74" s="343"/>
      <c r="L74" s="343"/>
      <c r="M74" s="343"/>
      <c r="N74" s="35" t="s">
        <v>55</v>
      </c>
    </row>
    <row r="75" spans="2:14" ht="17.55" customHeight="1" x14ac:dyDescent="0.3">
      <c r="B75" s="149"/>
      <c r="C75" s="328"/>
      <c r="D75" s="150"/>
      <c r="E75" s="334">
        <f>L66</f>
        <v>0</v>
      </c>
      <c r="F75" s="334"/>
      <c r="G75" s="334"/>
      <c r="H75" s="334"/>
      <c r="I75" s="334"/>
      <c r="J75" s="334"/>
      <c r="K75" s="334"/>
      <c r="L75" s="334"/>
      <c r="M75" s="334"/>
      <c r="N75" s="335"/>
    </row>
    <row r="76" spans="2:14" ht="17.55" hidden="1" customHeight="1" x14ac:dyDescent="0.3"/>
    <row r="77" spans="2:14" ht="17.55" hidden="1" customHeight="1" x14ac:dyDescent="0.3"/>
    <row r="78" spans="2:14" ht="17.55" hidden="1" customHeight="1" x14ac:dyDescent="0.3"/>
    <row r="79" spans="2:14" ht="17.55" hidden="1" customHeight="1" x14ac:dyDescent="0.3"/>
    <row r="80" spans="2:14" ht="17.55" hidden="1" customHeight="1" x14ac:dyDescent="0.3"/>
    <row r="81" ht="17.55" hidden="1" customHeight="1" x14ac:dyDescent="0.3"/>
    <row r="82" ht="17.55" hidden="1" customHeight="1" x14ac:dyDescent="0.3"/>
    <row r="83" ht="17.55" hidden="1" customHeight="1" x14ac:dyDescent="0.3"/>
    <row r="84" ht="17.55" hidden="1" customHeight="1" x14ac:dyDescent="0.3"/>
    <row r="85" ht="17.55" hidden="1" customHeight="1" x14ac:dyDescent="0.3"/>
    <row r="86" ht="17.55" hidden="1" customHeight="1" x14ac:dyDescent="0.3"/>
    <row r="87" ht="17.55" hidden="1" customHeight="1" x14ac:dyDescent="0.3"/>
    <row r="88" ht="17.55" hidden="1" customHeight="1" x14ac:dyDescent="0.3"/>
    <row r="89" ht="17.55" hidden="1" customHeight="1" x14ac:dyDescent="0.3"/>
    <row r="90" ht="17.55" hidden="1" customHeight="1" x14ac:dyDescent="0.3"/>
    <row r="91" ht="17.55" hidden="1" customHeight="1" x14ac:dyDescent="0.3"/>
    <row r="92" ht="17.55" hidden="1" customHeight="1" x14ac:dyDescent="0.3"/>
    <row r="93" ht="17.55" hidden="1" customHeight="1" x14ac:dyDescent="0.3"/>
    <row r="94" ht="17.55" hidden="1" customHeight="1" x14ac:dyDescent="0.3"/>
    <row r="95" ht="17.55" hidden="1" customHeight="1" x14ac:dyDescent="0.3"/>
    <row r="96" ht="17.55" hidden="1" customHeight="1" x14ac:dyDescent="0.3"/>
    <row r="97" ht="17.55" hidden="1" customHeight="1" x14ac:dyDescent="0.3"/>
    <row r="98" ht="17.55" hidden="1" customHeight="1" x14ac:dyDescent="0.3"/>
  </sheetData>
  <sheetProtection algorithmName="SHA-256" hashValue="RlJEQRwQq3EsznbBNm07kVqHn+xdwuv86Df/c4Lu75w=" saltValue="8SziUsZLcHQASmK/xnd0Rw=="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{04794171-A596-4AA3-83ED-08603A724722}</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{FDB827AC-4203-4CD0-9498-E33B52397E4A}</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{1DA26D73-32D3-4497-95EA-EB4EF69682E2}</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{F8327734-0B5D-4DE8-9287-817547F720B4}</x14:id>
        </ext>
      </extLst>
    </cfRule>
  </conditionalFormatting>
  <conditionalFormatting sqref="G21:N27">
    <cfRule type="cellIs" dxfId="64" priority="7" operator="equal">
      <formula>0</formula>
    </cfRule>
  </conditionalFormatting>
  <conditionalFormatting sqref="H40:N42">
    <cfRule type="cellIs" dxfId="63" priority="6" operator="equal">
      <formula>0</formula>
    </cfRule>
  </conditionalFormatting>
  <conditionalFormatting sqref="H48:N50">
    <cfRule type="cellIs" dxfId="62" priority="5" operator="equal">
      <formula>0</formula>
    </cfRule>
  </conditionalFormatting>
  <conditionalFormatting sqref="I33:I34 I41">
    <cfRule type="cellIs" dxfId="61" priority="17" operator="equal">
      <formula>0.64</formula>
    </cfRule>
  </conditionalFormatting>
  <conditionalFormatting sqref="I33:J34 M33:N34 I41:M41 C65">
    <cfRule type="cellIs" dxfId="60" priority="16" operator="equal">
      <formula>0</formula>
    </cfRule>
  </conditionalFormatting>
  <conditionalFormatting sqref="I49:M49">
    <cfRule type="aboveAverage" dxfId="59" priority="14"/>
  </conditionalFormatting>
  <conditionalFormatting sqref="I9:N15">
    <cfRule type="cellIs" dxfId="58" priority="11" operator="equal">
      <formula>0</formula>
    </cfRule>
  </conditionalFormatting>
  <conditionalFormatting sqref="I40:N40 N41:N42 J42 L42:M42">
    <cfRule type="cellIs" dxfId="57" priority="15" operator="equal">
      <formula>0</formula>
    </cfRule>
  </conditionalFormatting>
  <conditionalFormatting sqref="I48:N48 N49:N50 J50 L50:M50">
    <cfRule type="cellIs" dxfId="56" priority="13" operator="equal">
      <formula>0</formula>
    </cfRule>
  </conditionalFormatting>
  <conditionalFormatting sqref="L57 N57">
    <cfRule type="cellIs" dxfId="55" priority="1" operator="greaterThan">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{FA36A6BF-7A35-4C87-AA9D-227811416F94}</x14:id>
        </ext>
      </extLst>
    </cfRule>
  </conditionalFormatting>
  <conditionalFormatting sqref="N4">
    <cfRule type="expression" dxfId="54" priority="3">
      <formula>M4="No specific period"</formula>
    </cfRule>
    <cfRule type="cellIs" dxfId="53" priority="4" operator="equal">
      <formula>"# of days?"</formula>
    </cfRule>
  </conditionalFormatting>
  <dataValidations count="1">
    <dataValidation type="list" allowBlank="1" showInputMessage="1" showErrorMessage="1" sqref="M4" xr:uid="{00000000-0002-0000-03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04794171-A596-4AA3-83ED-08603A724722}">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FDB827AC-4203-4CD0-9498-E33B52397E4A}">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1DA26D73-32D3-4497-95EA-EB4EF69682E2}">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F8327734-0B5D-4DE8-9287-817547F720B4}">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FA36A6BF-7A35-4C87-AA9D-227811416F94}">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3000000}">
          <x14:formula1>
            <xm:f>'Calculation engine'!$Q$10:$Q$19</xm:f>
          </x14:formula1>
          <xm:sqref>C33:C34</xm:sqref>
        </x14:dataValidation>
        <x14:dataValidation type="list" allowBlank="1" showInputMessage="1" showErrorMessage="1" xr:uid="{00000000-0002-0000-0300-000001000000}">
          <x14:formula1>
            <xm:f>'Calculation engine'!$B$8:$B$35</xm:f>
          </x14:formula1>
          <xm:sqref>C9:C15</xm:sqref>
        </x14:dataValidation>
        <x14:dataValidation type="list" allowBlank="1" showInputMessage="1" showErrorMessage="1" xr:uid="{00000000-0002-0000-0300-000002000000}">
          <x14:formula1>
            <xm:f>'Calculation engine'!$I$8:$I$68</xm:f>
          </x14:formula1>
          <xm:sqref>C21:C27</xm:sqref>
        </x14:dataValidation>
        <x14:dataValidation type="list" allowBlank="1" showInputMessage="1" showErrorMessage="1" xr:uid="{00000000-0002-0000-0300-000005000000}">
          <x14:formula1>
            <xm:f>'Calculation engine'!$W$8:$W$78</xm:f>
          </x14:formula1>
          <xm:sqref>C48:C50</xm:sqref>
        </x14:dataValidation>
        <x14:dataValidation type="list" allowBlank="1" showInputMessage="1" showErrorMessage="1" xr:uid="{00000000-0002-0000-0300-000004000000}">
          <x14:formula1>
            <xm:f>'Calculation engine'!$AD$8:$AD$84</xm:f>
          </x14:formula1>
          <xm:sqref>C40:C42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98"/>
  <sheetViews>
    <sheetView showRowColHeaders="0" zoomScaleNormal="100" workbookViewId="0">
      <selection activeCell="E4" sqref="E4:H4"/>
    </sheetView>
  </sheetViews>
  <sheetFormatPr defaultColWidth="0" defaultRowHeight="15" customHeight="1" zeroHeight="1" x14ac:dyDescent="0.3"/>
  <cols>
    <col min="1" max="2" width="4" style="2" customWidth="1"/>
    <col min="3" max="3" width="67.5546875" style="2" customWidth="1"/>
    <col min="4" max="4" width="3.44140625" style="2" customWidth="1"/>
    <col min="5" max="5" width="19.5546875" style="2" customWidth="1"/>
    <col min="6" max="6" width="3.5546875" style="2" customWidth="1"/>
    <col min="7" max="8" width="9.21875" style="2" customWidth="1"/>
    <col min="9" max="9" width="13.5546875" style="2" customWidth="1"/>
    <col min="10" max="10" width="12.21875" style="2" customWidth="1"/>
    <col min="11" max="11" width="11.77734375" style="2" customWidth="1"/>
    <col min="12" max="12" width="22.5546875" style="2" customWidth="1"/>
    <col min="13" max="13" width="23.77734375" style="2" customWidth="1"/>
    <col min="14" max="14" width="23.44140625" style="2" customWidth="1"/>
    <col min="15" max="15" width="4.5546875" style="2" hidden="1" customWidth="1"/>
    <col min="16" max="20" width="0" style="2" hidden="1" customWidth="1"/>
    <col min="21" max="16384" width="9.21875" style="2" hidden="1"/>
  </cols>
  <sheetData>
    <row r="1" spans="2:20" ht="203.25" customHeight="1" x14ac:dyDescent="0.3"/>
    <row r="2" spans="2:20" ht="33" customHeight="1" x14ac:dyDescent="0.3">
      <c r="B2" s="181"/>
      <c r="C2" s="311" t="s">
        <v>351</v>
      </c>
      <c r="D2" s="311"/>
      <c r="E2" s="311"/>
      <c r="F2" s="311"/>
      <c r="G2" s="311"/>
      <c r="H2" s="311"/>
      <c r="I2" s="311"/>
      <c r="J2" s="311"/>
      <c r="K2" s="311"/>
      <c r="L2" s="311"/>
      <c r="M2" s="311"/>
      <c r="N2" s="311"/>
    </row>
    <row r="3" spans="2:20" ht="15" customHeight="1" x14ac:dyDescent="0.3">
      <c r="B3" s="151"/>
      <c r="C3" s="151"/>
      <c r="D3" s="151"/>
      <c r="E3" s="151"/>
      <c r="F3" s="151"/>
      <c r="G3" s="151"/>
      <c r="H3" s="151"/>
      <c r="I3" s="151"/>
      <c r="J3" s="151"/>
      <c r="K3" s="151"/>
      <c r="L3" s="151"/>
      <c r="M3" s="151"/>
      <c r="N3" s="20" t="str">
        <f>IF(M4="Part year","Enter days below","")</f>
        <v/>
      </c>
      <c r="Q3" s="2" t="s">
        <v>1</v>
      </c>
    </row>
    <row r="4" spans="2:20" ht="15" customHeight="1" x14ac:dyDescent="0.3">
      <c r="B4" s="181"/>
      <c r="C4" s="201" t="s">
        <v>2</v>
      </c>
      <c r="D4" s="151"/>
      <c r="E4" s="318"/>
      <c r="F4" s="319"/>
      <c r="G4" s="319"/>
      <c r="H4" s="320"/>
      <c r="I4" s="151"/>
      <c r="J4" s="316" t="s">
        <v>3</v>
      </c>
      <c r="K4" s="321"/>
      <c r="L4" s="321"/>
      <c r="M4" s="66" t="s">
        <v>1</v>
      </c>
      <c r="N4" s="66">
        <f>IF(M4="Full year",365,"")</f>
        <v>365</v>
      </c>
      <c r="Q4" s="2" t="s">
        <v>4</v>
      </c>
    </row>
    <row r="5" spans="2:20" ht="14.4" x14ac:dyDescent="0.3"/>
    <row r="6" spans="2:20" ht="15" customHeight="1" x14ac:dyDescent="0.3">
      <c r="B6" s="126"/>
      <c r="C6" s="313" t="s">
        <v>352</v>
      </c>
      <c r="D6" s="202"/>
      <c r="E6" s="315" t="s">
        <v>5</v>
      </c>
      <c r="F6" s="202"/>
      <c r="G6" s="315" t="s">
        <v>6</v>
      </c>
      <c r="H6" s="152"/>
      <c r="I6" s="317" t="s">
        <v>7</v>
      </c>
      <c r="J6" s="317"/>
      <c r="K6" s="317"/>
      <c r="L6" s="152"/>
      <c r="M6" s="202" t="s">
        <v>8</v>
      </c>
      <c r="N6" s="63" t="s">
        <v>9</v>
      </c>
      <c r="Q6" s="2" t="s">
        <v>10</v>
      </c>
    </row>
    <row r="7" spans="2:20" ht="14.25" customHeight="1" x14ac:dyDescent="0.3">
      <c r="B7" s="153"/>
      <c r="C7" s="314"/>
      <c r="D7" s="201"/>
      <c r="E7" s="316"/>
      <c r="F7" s="201"/>
      <c r="G7" s="316"/>
      <c r="H7" s="26"/>
      <c r="I7" s="1" t="s">
        <v>11</v>
      </c>
      <c r="J7" s="1" t="s">
        <v>12</v>
      </c>
      <c r="K7" s="1" t="s">
        <v>13</v>
      </c>
      <c r="L7" s="201"/>
      <c r="M7" s="1" t="s">
        <v>14</v>
      </c>
      <c r="N7" s="154" t="s">
        <v>15</v>
      </c>
    </row>
    <row r="8" spans="2:20" ht="14.4" x14ac:dyDescent="0.3">
      <c r="B8" s="155"/>
      <c r="C8" s="138" t="s">
        <v>16</v>
      </c>
      <c r="D8" s="138"/>
      <c r="E8" s="138" t="s">
        <v>17</v>
      </c>
      <c r="F8" s="138"/>
      <c r="G8" s="138"/>
      <c r="H8" s="137"/>
      <c r="I8" s="137"/>
      <c r="J8" s="137"/>
      <c r="K8" s="137"/>
      <c r="L8" s="137"/>
      <c r="M8" s="137"/>
      <c r="N8" s="157"/>
      <c r="Q8" s="8" t="s">
        <v>18</v>
      </c>
      <c r="R8" s="8" t="s">
        <v>19</v>
      </c>
      <c r="S8" s="8" t="s">
        <v>20</v>
      </c>
      <c r="T8" s="8" t="s">
        <v>21</v>
      </c>
    </row>
    <row r="9" spans="2:20" ht="15" customHeight="1" x14ac:dyDescent="0.3">
      <c r="B9" s="155"/>
      <c r="C9" s="136" t="s">
        <v>22</v>
      </c>
      <c r="D9" s="137"/>
      <c r="E9" s="295"/>
      <c r="F9" s="138"/>
      <c r="G9" s="20" t="str">
        <f>VLOOKUP($C9,'Calculation engine'!$B$8:$G$35,6,FALSE)</f>
        <v>-</v>
      </c>
      <c r="H9" s="139"/>
      <c r="I9" s="248">
        <f>Q9*$N9/1000</f>
        <v>0</v>
      </c>
      <c r="J9" s="248">
        <f>R9*$N9/1000</f>
        <v>0</v>
      </c>
      <c r="K9" s="248">
        <f>S9*$N9/1000</f>
        <v>0</v>
      </c>
      <c r="L9" s="203"/>
      <c r="M9" s="248">
        <f>SUM(I9:K9)</f>
        <v>0</v>
      </c>
      <c r="N9" s="249">
        <f>T9*E9</f>
        <v>0</v>
      </c>
      <c r="Q9" s="8">
        <f>VLOOKUP($C9,'Calculation engine'!$B$8:$G$35,3,FALSE)</f>
        <v>0</v>
      </c>
      <c r="R9" s="8">
        <f>VLOOKUP($C9,'Calculation engine'!$B$8:$G$35,4,FALSE)</f>
        <v>0</v>
      </c>
      <c r="S9" s="8">
        <f>VLOOKUP($C9,'Calculation engine'!$B$8:$G$35,5,FALSE)</f>
        <v>0</v>
      </c>
      <c r="T9" s="8">
        <f>VLOOKUP($C9,'Calculation engine'!$B$8:$G$35,2,FALSE)</f>
        <v>0</v>
      </c>
    </row>
    <row r="10" spans="2:20" ht="15" customHeight="1" x14ac:dyDescent="0.3">
      <c r="B10" s="155"/>
      <c r="C10" s="136" t="s">
        <v>22</v>
      </c>
      <c r="D10" s="137"/>
      <c r="E10" s="306"/>
      <c r="F10" s="138"/>
      <c r="G10" s="20" t="str">
        <f>VLOOKUP($C10,'Calculation engine'!$B$8:$G$35,6,FALSE)</f>
        <v>-</v>
      </c>
      <c r="H10" s="139"/>
      <c r="I10" s="248">
        <f t="shared" ref="I10:K15" si="0">Q10*$N10/1000</f>
        <v>0</v>
      </c>
      <c r="J10" s="248">
        <f t="shared" si="0"/>
        <v>0</v>
      </c>
      <c r="K10" s="248">
        <f t="shared" si="0"/>
        <v>0</v>
      </c>
      <c r="L10" s="203"/>
      <c r="M10" s="248">
        <f t="shared" ref="M10:M15" si="1">SUM(I10:K10)</f>
        <v>0</v>
      </c>
      <c r="N10" s="249">
        <f t="shared" ref="N10:N15" si="2">T10*E10</f>
        <v>0</v>
      </c>
      <c r="Q10" s="8">
        <f>VLOOKUP($C10,'Calculation engine'!$B$8:$G$35,3,FALSE)</f>
        <v>0</v>
      </c>
      <c r="R10" s="8">
        <f>VLOOKUP($C10,'Calculation engine'!$B$8:$G$35,4,FALSE)</f>
        <v>0</v>
      </c>
      <c r="S10" s="8">
        <f>VLOOKUP($C10,'Calculation engine'!$B$8:$G$35,5,FALSE)</f>
        <v>0</v>
      </c>
      <c r="T10" s="8">
        <f>VLOOKUP($C10,'Calculation engine'!$B$8:$G$35,2,FALSE)</f>
        <v>0</v>
      </c>
    </row>
    <row r="11" spans="2:20" ht="15" customHeight="1" x14ac:dyDescent="0.3">
      <c r="B11" s="155"/>
      <c r="C11" s="136" t="s">
        <v>22</v>
      </c>
      <c r="D11" s="137"/>
      <c r="E11" s="306"/>
      <c r="F11" s="138"/>
      <c r="G11" s="20" t="str">
        <f>VLOOKUP($C11,'Calculation engine'!$B$8:$G$35,6,FALSE)</f>
        <v>-</v>
      </c>
      <c r="H11" s="139"/>
      <c r="I11" s="248">
        <f t="shared" si="0"/>
        <v>0</v>
      </c>
      <c r="J11" s="248">
        <f t="shared" si="0"/>
        <v>0</v>
      </c>
      <c r="K11" s="248">
        <f t="shared" si="0"/>
        <v>0</v>
      </c>
      <c r="L11" s="203"/>
      <c r="M11" s="248">
        <f>SUM(I11:K11)</f>
        <v>0</v>
      </c>
      <c r="N11" s="249">
        <f>T11*E11</f>
        <v>0</v>
      </c>
      <c r="Q11" s="8">
        <f>VLOOKUP($C11,'Calculation engine'!$B$8:$G$35,3,FALSE)</f>
        <v>0</v>
      </c>
      <c r="R11" s="8">
        <f>VLOOKUP($C11,'Calculation engine'!$B$8:$G$35,4,FALSE)</f>
        <v>0</v>
      </c>
      <c r="S11" s="8">
        <f>VLOOKUP($C11,'Calculation engine'!$B$8:$G$35,5,FALSE)</f>
        <v>0</v>
      </c>
      <c r="T11" s="8">
        <f>VLOOKUP($C11,'Calculation engine'!$B$8:$G$35,2,FALSE)</f>
        <v>0</v>
      </c>
    </row>
    <row r="12" spans="2:20" ht="15" customHeight="1" x14ac:dyDescent="0.3">
      <c r="B12" s="155"/>
      <c r="C12" s="136" t="s">
        <v>22</v>
      </c>
      <c r="D12" s="137"/>
      <c r="E12" s="306"/>
      <c r="F12" s="138"/>
      <c r="G12" s="20" t="str">
        <f>VLOOKUP($C12,'Calculation engine'!$B$8:$G$35,6,FALSE)</f>
        <v>-</v>
      </c>
      <c r="H12" s="139"/>
      <c r="I12" s="248">
        <f t="shared" si="0"/>
        <v>0</v>
      </c>
      <c r="J12" s="248">
        <f t="shared" si="0"/>
        <v>0</v>
      </c>
      <c r="K12" s="248">
        <f t="shared" si="0"/>
        <v>0</v>
      </c>
      <c r="L12" s="203"/>
      <c r="M12" s="248">
        <f>SUM(I12:K12)</f>
        <v>0</v>
      </c>
      <c r="N12" s="249">
        <f>T12*E12</f>
        <v>0</v>
      </c>
      <c r="Q12" s="8">
        <f>VLOOKUP($C12,'Calculation engine'!$B$8:$G$35,3,FALSE)</f>
        <v>0</v>
      </c>
      <c r="R12" s="8">
        <f>VLOOKUP($C12,'Calculation engine'!$B$8:$G$35,4,FALSE)</f>
        <v>0</v>
      </c>
      <c r="S12" s="8">
        <f>VLOOKUP($C12,'Calculation engine'!$B$8:$G$35,5,FALSE)</f>
        <v>0</v>
      </c>
      <c r="T12" s="8">
        <f>VLOOKUP($C12,'Calculation engine'!$B$8:$G$35,2,FALSE)</f>
        <v>0</v>
      </c>
    </row>
    <row r="13" spans="2:20" ht="15" customHeight="1" x14ac:dyDescent="0.3">
      <c r="B13" s="155"/>
      <c r="C13" s="136" t="s">
        <v>22</v>
      </c>
      <c r="D13" s="137"/>
      <c r="E13" s="306"/>
      <c r="F13" s="138"/>
      <c r="G13" s="20" t="str">
        <f>VLOOKUP($C13,'Calculation engine'!$B$8:$G$35,6,FALSE)</f>
        <v>-</v>
      </c>
      <c r="H13" s="139"/>
      <c r="I13" s="248">
        <f t="shared" si="0"/>
        <v>0</v>
      </c>
      <c r="J13" s="248">
        <f t="shared" si="0"/>
        <v>0</v>
      </c>
      <c r="K13" s="248">
        <f t="shared" si="0"/>
        <v>0</v>
      </c>
      <c r="L13" s="203"/>
      <c r="M13" s="248">
        <f>SUM(I13:K13)</f>
        <v>0</v>
      </c>
      <c r="N13" s="249">
        <f>T13*E13</f>
        <v>0</v>
      </c>
      <c r="Q13" s="8">
        <f>VLOOKUP($C13,'Calculation engine'!$B$8:$G$35,3,FALSE)</f>
        <v>0</v>
      </c>
      <c r="R13" s="8">
        <f>VLOOKUP($C13,'Calculation engine'!$B$8:$G$35,4,FALSE)</f>
        <v>0</v>
      </c>
      <c r="S13" s="8">
        <f>VLOOKUP($C13,'Calculation engine'!$B$8:$G$35,5,FALSE)</f>
        <v>0</v>
      </c>
      <c r="T13" s="8">
        <f>VLOOKUP($C13,'Calculation engine'!$B$8:$G$35,2,FALSE)</f>
        <v>0</v>
      </c>
    </row>
    <row r="14" spans="2:20" ht="15" customHeight="1" x14ac:dyDescent="0.3">
      <c r="B14" s="155"/>
      <c r="C14" s="136" t="s">
        <v>22</v>
      </c>
      <c r="D14" s="137"/>
      <c r="E14" s="306"/>
      <c r="F14" s="138"/>
      <c r="G14" s="20" t="str">
        <f>VLOOKUP($C14,'Calculation engine'!$B$8:$G$35,6,FALSE)</f>
        <v>-</v>
      </c>
      <c r="H14" s="139"/>
      <c r="I14" s="248">
        <f t="shared" si="0"/>
        <v>0</v>
      </c>
      <c r="J14" s="248">
        <f t="shared" si="0"/>
        <v>0</v>
      </c>
      <c r="K14" s="248">
        <f t="shared" si="0"/>
        <v>0</v>
      </c>
      <c r="L14" s="203"/>
      <c r="M14" s="248">
        <f t="shared" si="1"/>
        <v>0</v>
      </c>
      <c r="N14" s="249">
        <f t="shared" si="2"/>
        <v>0</v>
      </c>
      <c r="Q14" s="8">
        <f>VLOOKUP($C14,'Calculation engine'!$B$8:$G$35,3,FALSE)</f>
        <v>0</v>
      </c>
      <c r="R14" s="8">
        <f>VLOOKUP($C14,'Calculation engine'!$B$8:$G$35,4,FALSE)</f>
        <v>0</v>
      </c>
      <c r="S14" s="8">
        <f>VLOOKUP($C14,'Calculation engine'!$B$8:$G$35,5,FALSE)</f>
        <v>0</v>
      </c>
      <c r="T14" s="8">
        <f>VLOOKUP($C14,'Calculation engine'!$B$8:$G$35,2,FALSE)</f>
        <v>0</v>
      </c>
    </row>
    <row r="15" spans="2:20" ht="15" customHeight="1" x14ac:dyDescent="0.3">
      <c r="B15" s="155"/>
      <c r="C15" s="136" t="s">
        <v>22</v>
      </c>
      <c r="D15" s="137"/>
      <c r="E15" s="306"/>
      <c r="F15" s="138"/>
      <c r="G15" s="20" t="str">
        <f>VLOOKUP($C15,'Calculation engine'!$B$8:$G$35,6,FALSE)</f>
        <v>-</v>
      </c>
      <c r="H15" s="139"/>
      <c r="I15" s="248">
        <f t="shared" si="0"/>
        <v>0</v>
      </c>
      <c r="J15" s="248">
        <f t="shared" si="0"/>
        <v>0</v>
      </c>
      <c r="K15" s="248">
        <f t="shared" si="0"/>
        <v>0</v>
      </c>
      <c r="L15" s="203"/>
      <c r="M15" s="248">
        <f t="shared" si="1"/>
        <v>0</v>
      </c>
      <c r="N15" s="249">
        <f t="shared" si="2"/>
        <v>0</v>
      </c>
      <c r="Q15" s="8">
        <f>VLOOKUP($C15,'Calculation engine'!$B$8:$G$35,3,FALSE)</f>
        <v>0</v>
      </c>
      <c r="R15" s="8">
        <f>VLOOKUP($C15,'Calculation engine'!$B$8:$G$35,4,FALSE)</f>
        <v>0</v>
      </c>
      <c r="S15" s="8">
        <f>VLOOKUP($C15,'Calculation engine'!$B$8:$G$35,5,FALSE)</f>
        <v>0</v>
      </c>
      <c r="T15" s="8">
        <f>VLOOKUP($C15,'Calculation engine'!$B$8:$G$35,2,FALSE)</f>
        <v>0</v>
      </c>
    </row>
    <row r="16" spans="2:20" ht="15" customHeight="1" x14ac:dyDescent="0.3">
      <c r="B16" s="158"/>
      <c r="C16" s="141"/>
      <c r="D16" s="141"/>
      <c r="E16" s="142"/>
      <c r="F16" s="142"/>
      <c r="G16" s="312" t="s">
        <v>23</v>
      </c>
      <c r="H16" s="312"/>
      <c r="I16" s="312"/>
      <c r="J16" s="312"/>
      <c r="K16" s="312"/>
      <c r="L16" s="312"/>
      <c r="M16" s="250">
        <f>SUM(M9:M15)</f>
        <v>0</v>
      </c>
      <c r="N16" s="251">
        <f>SUM(N9:N15)</f>
        <v>0</v>
      </c>
    </row>
    <row r="17" spans="2:20" ht="15" customHeight="1" x14ac:dyDescent="0.3">
      <c r="E17" s="20"/>
      <c r="F17" s="20"/>
      <c r="G17" s="20"/>
    </row>
    <row r="18" spans="2:20" ht="15" customHeight="1" x14ac:dyDescent="0.3">
      <c r="B18" s="126"/>
      <c r="C18" s="313" t="s">
        <v>353</v>
      </c>
      <c r="D18" s="202"/>
      <c r="E18" s="315" t="s">
        <v>5</v>
      </c>
      <c r="F18" s="202"/>
      <c r="G18" s="315" t="s">
        <v>6</v>
      </c>
      <c r="H18" s="152"/>
      <c r="I18" s="317" t="s">
        <v>24</v>
      </c>
      <c r="J18" s="317"/>
      <c r="K18" s="317"/>
      <c r="L18" s="152"/>
      <c r="M18" s="202" t="s">
        <v>8</v>
      </c>
      <c r="N18" s="63" t="s">
        <v>9</v>
      </c>
    </row>
    <row r="19" spans="2:20" ht="15.75" customHeight="1" x14ac:dyDescent="0.3">
      <c r="B19" s="153"/>
      <c r="C19" s="314"/>
      <c r="D19" s="201"/>
      <c r="E19" s="316"/>
      <c r="F19" s="201"/>
      <c r="G19" s="316"/>
      <c r="H19" s="26"/>
      <c r="I19" s="1" t="s">
        <v>11</v>
      </c>
      <c r="J19" s="1" t="s">
        <v>12</v>
      </c>
      <c r="K19" s="1" t="s">
        <v>13</v>
      </c>
      <c r="L19" s="201"/>
      <c r="M19" s="1" t="s">
        <v>14</v>
      </c>
      <c r="N19" s="154" t="s">
        <v>15</v>
      </c>
    </row>
    <row r="20" spans="2:20" ht="15" customHeight="1" x14ac:dyDescent="0.3">
      <c r="B20" s="155"/>
      <c r="C20" s="138" t="s">
        <v>16</v>
      </c>
      <c r="D20" s="138"/>
      <c r="E20" s="138" t="s">
        <v>17</v>
      </c>
      <c r="F20" s="138"/>
      <c r="G20" s="138"/>
      <c r="H20" s="137"/>
      <c r="I20" s="137"/>
      <c r="J20" s="137"/>
      <c r="K20" s="137"/>
      <c r="L20" s="137"/>
      <c r="M20" s="137"/>
      <c r="N20" s="157"/>
      <c r="Q20" s="8" t="s">
        <v>18</v>
      </c>
      <c r="R20" s="8" t="s">
        <v>19</v>
      </c>
      <c r="S20" s="8" t="s">
        <v>20</v>
      </c>
      <c r="T20" s="8" t="s">
        <v>21</v>
      </c>
    </row>
    <row r="21" spans="2:20" ht="15" customHeight="1" x14ac:dyDescent="0.3">
      <c r="B21" s="155"/>
      <c r="C21" s="136" t="s">
        <v>22</v>
      </c>
      <c r="D21" s="137"/>
      <c r="E21" s="295"/>
      <c r="F21" s="138"/>
      <c r="G21" s="20" t="str">
        <f>VLOOKUP($C21,'Calculation engine'!$I$8:$N$68,6,FALSE)</f>
        <v>-</v>
      </c>
      <c r="H21" s="139"/>
      <c r="I21" s="248">
        <f t="shared" ref="I21:K27" si="3">Q21*$N21/1000</f>
        <v>0</v>
      </c>
      <c r="J21" s="248">
        <f t="shared" si="3"/>
        <v>0</v>
      </c>
      <c r="K21" s="248">
        <f t="shared" si="3"/>
        <v>0</v>
      </c>
      <c r="L21" s="203"/>
      <c r="M21" s="248">
        <f t="shared" ref="M21:M27" si="4">SUM(I21:K21)</f>
        <v>0</v>
      </c>
      <c r="N21" s="249">
        <f t="shared" ref="N21:N27" si="5">T21*E21</f>
        <v>0</v>
      </c>
      <c r="Q21" s="8">
        <f>VLOOKUP($C21,'Calculation engine'!$I$8:$N$68,3,FALSE)</f>
        <v>0</v>
      </c>
      <c r="R21" s="8">
        <f>VLOOKUP($C21,'Calculation engine'!$I$8:$N$68,4,FALSE)</f>
        <v>0</v>
      </c>
      <c r="S21" s="8">
        <f>VLOOKUP($C21,'Calculation engine'!$I$8:$N$68,5,FALSE)</f>
        <v>0</v>
      </c>
      <c r="T21" s="8">
        <f>VLOOKUP($C21,'Calculation engine'!$I$8:$N$68,2,FALSE)</f>
        <v>0</v>
      </c>
    </row>
    <row r="22" spans="2:20" ht="14.25" customHeight="1" x14ac:dyDescent="0.3">
      <c r="B22" s="155"/>
      <c r="C22" s="136" t="s">
        <v>22</v>
      </c>
      <c r="D22" s="137"/>
      <c r="E22" s="306"/>
      <c r="F22" s="138"/>
      <c r="G22" s="20" t="str">
        <f>VLOOKUP($C22,'Calculation engine'!$I$8:$N$68,6,FALSE)</f>
        <v>-</v>
      </c>
      <c r="H22" s="139"/>
      <c r="I22" s="248">
        <f t="shared" si="3"/>
        <v>0</v>
      </c>
      <c r="J22" s="248">
        <f t="shared" si="3"/>
        <v>0</v>
      </c>
      <c r="K22" s="248">
        <f t="shared" si="3"/>
        <v>0</v>
      </c>
      <c r="L22" s="203"/>
      <c r="M22" s="248">
        <f t="shared" si="4"/>
        <v>0</v>
      </c>
      <c r="N22" s="249">
        <f t="shared" si="5"/>
        <v>0</v>
      </c>
      <c r="Q22" s="8">
        <f>VLOOKUP($C22,'Calculation engine'!$I$8:$N$68,3,FALSE)</f>
        <v>0</v>
      </c>
      <c r="R22" s="8">
        <f>VLOOKUP($C22,'Calculation engine'!$I$8:$N$68,4,FALSE)</f>
        <v>0</v>
      </c>
      <c r="S22" s="8">
        <f>VLOOKUP($C22,'Calculation engine'!$I$8:$N$68,5,FALSE)</f>
        <v>0</v>
      </c>
      <c r="T22" s="8">
        <f>VLOOKUP($C22,'Calculation engine'!$I$8:$N$68,2,FALSE)</f>
        <v>0</v>
      </c>
    </row>
    <row r="23" spans="2:20" ht="15" customHeight="1" x14ac:dyDescent="0.3">
      <c r="B23" s="155"/>
      <c r="C23" s="136" t="s">
        <v>22</v>
      </c>
      <c r="D23" s="137"/>
      <c r="E23" s="306"/>
      <c r="F23" s="138"/>
      <c r="G23" s="20" t="str">
        <f>VLOOKUP($C23,'Calculation engine'!$I$8:$N$68,6,FALSE)</f>
        <v>-</v>
      </c>
      <c r="H23" s="139"/>
      <c r="I23" s="248">
        <f t="shared" si="3"/>
        <v>0</v>
      </c>
      <c r="J23" s="248">
        <f t="shared" si="3"/>
        <v>0</v>
      </c>
      <c r="K23" s="248">
        <f t="shared" si="3"/>
        <v>0</v>
      </c>
      <c r="L23" s="203"/>
      <c r="M23" s="248">
        <f t="shared" si="4"/>
        <v>0</v>
      </c>
      <c r="N23" s="249">
        <f t="shared" si="5"/>
        <v>0</v>
      </c>
      <c r="Q23" s="8">
        <f>VLOOKUP($C23,'Calculation engine'!$I$8:$N$68,3,FALSE)</f>
        <v>0</v>
      </c>
      <c r="R23" s="8">
        <f>VLOOKUP($C23,'Calculation engine'!$I$8:$N$68,4,FALSE)</f>
        <v>0</v>
      </c>
      <c r="S23" s="8">
        <f>VLOOKUP($C23,'Calculation engine'!$I$8:$N$68,5,FALSE)</f>
        <v>0</v>
      </c>
      <c r="T23" s="8">
        <f>VLOOKUP($C23,'Calculation engine'!$I$8:$N$68,2,FALSE)</f>
        <v>0</v>
      </c>
    </row>
    <row r="24" spans="2:20" ht="15" customHeight="1" x14ac:dyDescent="0.3">
      <c r="B24" s="155"/>
      <c r="C24" s="136" t="s">
        <v>22</v>
      </c>
      <c r="D24" s="137"/>
      <c r="E24" s="306"/>
      <c r="F24" s="138"/>
      <c r="G24" s="20" t="str">
        <f>VLOOKUP($C24,'Calculation engine'!$I$8:$N$68,6,FALSE)</f>
        <v>-</v>
      </c>
      <c r="H24" s="139"/>
      <c r="I24" s="248">
        <f t="shared" si="3"/>
        <v>0</v>
      </c>
      <c r="J24" s="248">
        <f t="shared" si="3"/>
        <v>0</v>
      </c>
      <c r="K24" s="248">
        <f t="shared" si="3"/>
        <v>0</v>
      </c>
      <c r="L24" s="203"/>
      <c r="M24" s="248">
        <f t="shared" si="4"/>
        <v>0</v>
      </c>
      <c r="N24" s="249">
        <f t="shared" si="5"/>
        <v>0</v>
      </c>
      <c r="Q24" s="8">
        <f>VLOOKUP($C24,'Calculation engine'!$I$8:$N$68,3,FALSE)</f>
        <v>0</v>
      </c>
      <c r="R24" s="8">
        <f>VLOOKUP($C24,'Calculation engine'!$I$8:$N$68,4,FALSE)</f>
        <v>0</v>
      </c>
      <c r="S24" s="8">
        <f>VLOOKUP($C24,'Calculation engine'!$I$8:$N$68,5,FALSE)</f>
        <v>0</v>
      </c>
      <c r="T24" s="8">
        <f>VLOOKUP($C24,'Calculation engine'!$I$8:$N$68,2,FALSE)</f>
        <v>0</v>
      </c>
    </row>
    <row r="25" spans="2:20" ht="15" customHeight="1" x14ac:dyDescent="0.3">
      <c r="B25" s="155"/>
      <c r="C25" s="136" t="s">
        <v>22</v>
      </c>
      <c r="D25" s="137"/>
      <c r="E25" s="306"/>
      <c r="F25" s="138"/>
      <c r="G25" s="20" t="str">
        <f>VLOOKUP($C25,'Calculation engine'!$I$8:$N$68,6,FALSE)</f>
        <v>-</v>
      </c>
      <c r="H25" s="139"/>
      <c r="I25" s="248">
        <f t="shared" si="3"/>
        <v>0</v>
      </c>
      <c r="J25" s="248">
        <f t="shared" si="3"/>
        <v>0</v>
      </c>
      <c r="K25" s="248">
        <f t="shared" si="3"/>
        <v>0</v>
      </c>
      <c r="L25" s="203"/>
      <c r="M25" s="248">
        <f t="shared" si="4"/>
        <v>0</v>
      </c>
      <c r="N25" s="249">
        <f t="shared" si="5"/>
        <v>0</v>
      </c>
      <c r="Q25" s="8">
        <f>VLOOKUP($C25,'Calculation engine'!$I$8:$N$68,3,FALSE)</f>
        <v>0</v>
      </c>
      <c r="R25" s="8">
        <f>VLOOKUP($C25,'Calculation engine'!$I$8:$N$68,4,FALSE)</f>
        <v>0</v>
      </c>
      <c r="S25" s="8">
        <f>VLOOKUP($C25,'Calculation engine'!$I$8:$N$68,5,FALSE)</f>
        <v>0</v>
      </c>
      <c r="T25" s="8">
        <f>VLOOKUP($C25,'Calculation engine'!$I$8:$N$68,2,FALSE)</f>
        <v>0</v>
      </c>
    </row>
    <row r="26" spans="2:20" ht="15" customHeight="1" x14ac:dyDescent="0.3">
      <c r="B26" s="155"/>
      <c r="C26" s="136" t="s">
        <v>22</v>
      </c>
      <c r="D26" s="137"/>
      <c r="E26" s="306"/>
      <c r="F26" s="138"/>
      <c r="G26" s="20" t="str">
        <f>VLOOKUP($C26,'Calculation engine'!$I$8:$N$68,6,FALSE)</f>
        <v>-</v>
      </c>
      <c r="H26" s="139"/>
      <c r="I26" s="248">
        <f t="shared" si="3"/>
        <v>0</v>
      </c>
      <c r="J26" s="248">
        <f t="shared" si="3"/>
        <v>0</v>
      </c>
      <c r="K26" s="248">
        <f t="shared" si="3"/>
        <v>0</v>
      </c>
      <c r="L26" s="203"/>
      <c r="M26" s="248">
        <f t="shared" si="4"/>
        <v>0</v>
      </c>
      <c r="N26" s="249">
        <f t="shared" si="5"/>
        <v>0</v>
      </c>
      <c r="Q26" s="8">
        <f>VLOOKUP($C26,'Calculation engine'!$I$8:$N$68,3,FALSE)</f>
        <v>0</v>
      </c>
      <c r="R26" s="8">
        <f>VLOOKUP($C26,'Calculation engine'!$I$8:$N$68,4,FALSE)</f>
        <v>0</v>
      </c>
      <c r="S26" s="8">
        <f>VLOOKUP($C26,'Calculation engine'!$I$8:$N$68,5,FALSE)</f>
        <v>0</v>
      </c>
      <c r="T26" s="8">
        <f>VLOOKUP($C26,'Calculation engine'!$I$8:$N$68,2,FALSE)</f>
        <v>0</v>
      </c>
    </row>
    <row r="27" spans="2:20" ht="15" customHeight="1" x14ac:dyDescent="0.3">
      <c r="B27" s="155"/>
      <c r="C27" s="136" t="s">
        <v>22</v>
      </c>
      <c r="D27" s="137"/>
      <c r="E27" s="306"/>
      <c r="F27" s="138"/>
      <c r="G27" s="20" t="str">
        <f>VLOOKUP($C27,'Calculation engine'!$I$8:$N$68,6,FALSE)</f>
        <v>-</v>
      </c>
      <c r="H27" s="139"/>
      <c r="I27" s="248">
        <f t="shared" si="3"/>
        <v>0</v>
      </c>
      <c r="J27" s="248">
        <f t="shared" si="3"/>
        <v>0</v>
      </c>
      <c r="K27" s="248">
        <f t="shared" si="3"/>
        <v>0</v>
      </c>
      <c r="L27" s="203"/>
      <c r="M27" s="248">
        <f t="shared" si="4"/>
        <v>0</v>
      </c>
      <c r="N27" s="249">
        <f t="shared" si="5"/>
        <v>0</v>
      </c>
      <c r="Q27" s="8">
        <f>VLOOKUP($C27,'Calculation engine'!$I$8:$N$68,3,FALSE)</f>
        <v>0</v>
      </c>
      <c r="R27" s="8">
        <f>VLOOKUP($C27,'Calculation engine'!$I$8:$N$68,4,FALSE)</f>
        <v>0</v>
      </c>
      <c r="S27" s="8">
        <f>VLOOKUP($C27,'Calculation engine'!$I$8:$N$68,5,FALSE)</f>
        <v>0</v>
      </c>
      <c r="T27" s="8">
        <f>VLOOKUP($C27,'Calculation engine'!$I$8:$N$68,2,FALSE)</f>
        <v>0</v>
      </c>
    </row>
    <row r="28" spans="2:20" ht="15" customHeight="1" x14ac:dyDescent="0.3">
      <c r="B28" s="158"/>
      <c r="C28" s="141"/>
      <c r="D28" s="141"/>
      <c r="E28" s="142"/>
      <c r="F28" s="142"/>
      <c r="G28" s="312" t="s">
        <v>25</v>
      </c>
      <c r="H28" s="312"/>
      <c r="I28" s="312"/>
      <c r="J28" s="312"/>
      <c r="K28" s="312"/>
      <c r="L28" s="312"/>
      <c r="M28" s="250">
        <f>SUM(M21:M27)</f>
        <v>0</v>
      </c>
      <c r="N28" s="251">
        <f>SUM(N21:N27)</f>
        <v>0</v>
      </c>
    </row>
    <row r="29" spans="2:20" ht="15" customHeight="1" x14ac:dyDescent="0.3">
      <c r="E29" s="20"/>
      <c r="F29" s="20"/>
      <c r="G29" s="20"/>
    </row>
    <row r="30" spans="2:20" ht="15" customHeight="1" x14ac:dyDescent="0.3">
      <c r="B30" s="126"/>
      <c r="C30" s="313" t="s">
        <v>354</v>
      </c>
      <c r="D30" s="202"/>
      <c r="E30" s="315" t="s">
        <v>5</v>
      </c>
      <c r="F30" s="202"/>
      <c r="G30" s="315" t="s">
        <v>6</v>
      </c>
      <c r="H30" s="152"/>
      <c r="I30" s="317" t="s">
        <v>26</v>
      </c>
      <c r="J30" s="317"/>
      <c r="K30" s="317"/>
      <c r="L30" s="152"/>
      <c r="M30" s="202" t="s">
        <v>27</v>
      </c>
      <c r="N30" s="63" t="s">
        <v>9</v>
      </c>
    </row>
    <row r="31" spans="2:20" ht="15" customHeight="1" x14ac:dyDescent="0.3">
      <c r="B31" s="153"/>
      <c r="C31" s="314"/>
      <c r="D31" s="201"/>
      <c r="E31" s="316"/>
      <c r="F31" s="201"/>
      <c r="G31" s="316"/>
      <c r="H31" s="26"/>
      <c r="I31" s="1" t="s">
        <v>28</v>
      </c>
      <c r="J31" s="1"/>
      <c r="K31" s="26"/>
      <c r="L31" s="201"/>
      <c r="M31" s="1" t="s">
        <v>14</v>
      </c>
      <c r="N31" s="154" t="s">
        <v>15</v>
      </c>
      <c r="Q31" s="2" t="s">
        <v>29</v>
      </c>
    </row>
    <row r="32" spans="2:20" ht="15" customHeight="1" x14ac:dyDescent="0.3">
      <c r="B32" s="155"/>
      <c r="C32" s="138" t="s">
        <v>30</v>
      </c>
      <c r="D32" s="138"/>
      <c r="E32" s="138" t="s">
        <v>17</v>
      </c>
      <c r="F32" s="138"/>
      <c r="G32" s="138"/>
      <c r="H32" s="137"/>
      <c r="I32" s="137"/>
      <c r="J32" s="137"/>
      <c r="K32" s="137"/>
      <c r="L32" s="137"/>
      <c r="M32" s="137"/>
      <c r="N32" s="157"/>
      <c r="Q32" s="1" t="s">
        <v>21</v>
      </c>
    </row>
    <row r="33" spans="2:20" ht="15" customHeight="1" x14ac:dyDescent="0.3">
      <c r="B33" s="155"/>
      <c r="C33" s="136" t="s">
        <v>22</v>
      </c>
      <c r="D33" s="137"/>
      <c r="E33" s="295"/>
      <c r="F33" s="138"/>
      <c r="G33" s="20" t="s">
        <v>31</v>
      </c>
      <c r="I33" s="230">
        <f>VLOOKUP($C33,'Calculation engine'!$Q$10:$T$19,2,FALSE)</f>
        <v>0</v>
      </c>
      <c r="J33" s="324" t="str">
        <f>IF(C33="Not purchased from the main grid","You can enter a custom factor for EF","")</f>
        <v/>
      </c>
      <c r="K33" s="324"/>
      <c r="L33" s="324"/>
      <c r="M33" s="248">
        <f>E33*I33/1000</f>
        <v>0</v>
      </c>
      <c r="N33" s="249">
        <f>E33*Q34</f>
        <v>0</v>
      </c>
      <c r="Q33" s="3"/>
    </row>
    <row r="34" spans="2:20" ht="15.75" customHeight="1" x14ac:dyDescent="0.3">
      <c r="B34" s="155"/>
      <c r="C34" s="136" t="s">
        <v>22</v>
      </c>
      <c r="D34" s="137"/>
      <c r="E34" s="296"/>
      <c r="F34" s="138"/>
      <c r="G34" s="20" t="s">
        <v>31</v>
      </c>
      <c r="I34" s="230">
        <f>VLOOKUP($C34,'Calculation engine'!$Q$10:$T$19,2,FALSE)</f>
        <v>0</v>
      </c>
      <c r="J34" s="323" t="str">
        <f>IF(C34="Not purchased from the main grid","You can enter a custom factor for EF","")</f>
        <v/>
      </c>
      <c r="K34" s="323"/>
      <c r="L34" s="323"/>
      <c r="M34" s="248">
        <f>E34*I34/1000</f>
        <v>0</v>
      </c>
      <c r="N34" s="249">
        <f>E34*Q35</f>
        <v>0</v>
      </c>
      <c r="Q34" s="4">
        <f>VLOOKUP($C33,'Calculation engine'!$Q$10:$T$19,3,FALSE)</f>
        <v>0</v>
      </c>
    </row>
    <row r="35" spans="2:20" ht="16.5" customHeight="1" x14ac:dyDescent="0.3">
      <c r="B35" s="158"/>
      <c r="C35" s="141"/>
      <c r="D35" s="141"/>
      <c r="E35" s="142"/>
      <c r="F35" s="142"/>
      <c r="G35" s="312" t="s">
        <v>32</v>
      </c>
      <c r="H35" s="312"/>
      <c r="I35" s="312"/>
      <c r="J35" s="312"/>
      <c r="K35" s="312"/>
      <c r="L35" s="312"/>
      <c r="M35" s="250">
        <f>SUM(M33:M34)</f>
        <v>0</v>
      </c>
      <c r="N35" s="251">
        <f>SUM(N33:N34)</f>
        <v>0</v>
      </c>
      <c r="Q35" s="4">
        <f>VLOOKUP($C34,'Calculation engine'!$Q$10:$T$19,3,FALSE)</f>
        <v>0</v>
      </c>
    </row>
    <row r="36" spans="2:20" ht="15" customHeight="1" x14ac:dyDescent="0.3">
      <c r="E36" s="20"/>
      <c r="F36" s="20"/>
      <c r="G36" s="160"/>
      <c r="H36" s="160"/>
      <c r="I36" s="160"/>
      <c r="J36" s="160"/>
      <c r="K36" s="160"/>
      <c r="L36" s="160"/>
      <c r="M36" s="24"/>
      <c r="N36" s="24"/>
    </row>
    <row r="37" spans="2:20" ht="15" customHeight="1" x14ac:dyDescent="0.3">
      <c r="B37" s="126"/>
      <c r="C37" s="313" t="s">
        <v>355</v>
      </c>
      <c r="D37" s="202"/>
      <c r="E37" s="315" t="s">
        <v>5</v>
      </c>
      <c r="F37" s="202"/>
      <c r="G37" s="315" t="s">
        <v>6</v>
      </c>
      <c r="H37" s="152"/>
      <c r="I37" s="317"/>
      <c r="J37" s="317"/>
      <c r="K37" s="317"/>
      <c r="L37" s="152"/>
      <c r="M37" s="202"/>
      <c r="N37" s="63" t="s">
        <v>9</v>
      </c>
    </row>
    <row r="38" spans="2:20" ht="15" customHeight="1" x14ac:dyDescent="0.3">
      <c r="B38" s="153"/>
      <c r="C38" s="314"/>
      <c r="D38" s="201"/>
      <c r="E38" s="316"/>
      <c r="F38" s="201"/>
      <c r="G38" s="316"/>
      <c r="H38" s="26"/>
      <c r="I38" s="1"/>
      <c r="J38" s="1"/>
      <c r="K38" s="26"/>
      <c r="L38" s="201"/>
      <c r="M38" s="1"/>
      <c r="N38" s="154" t="s">
        <v>15</v>
      </c>
    </row>
    <row r="39" spans="2:20" ht="15" customHeight="1" x14ac:dyDescent="0.3">
      <c r="B39" s="155"/>
      <c r="C39" s="138" t="s">
        <v>33</v>
      </c>
      <c r="D39" s="138"/>
      <c r="E39" s="138" t="s">
        <v>17</v>
      </c>
      <c r="F39" s="138"/>
      <c r="G39" s="138"/>
      <c r="H39" s="137"/>
      <c r="I39" s="137"/>
      <c r="J39" s="137"/>
      <c r="K39" s="137"/>
      <c r="L39" s="137"/>
      <c r="M39" s="137"/>
      <c r="N39" s="157"/>
      <c r="Q39" s="8" t="s">
        <v>18</v>
      </c>
      <c r="R39" s="8" t="s">
        <v>19</v>
      </c>
      <c r="S39" s="8" t="s">
        <v>20</v>
      </c>
      <c r="T39" s="8" t="s">
        <v>21</v>
      </c>
    </row>
    <row r="40" spans="2:20" ht="15" customHeight="1" x14ac:dyDescent="0.3">
      <c r="B40" s="155"/>
      <c r="C40" s="136" t="s">
        <v>22</v>
      </c>
      <c r="D40" s="137"/>
      <c r="E40" s="295"/>
      <c r="F40" s="138"/>
      <c r="G40" s="20" t="str">
        <f>VLOOKUP($C40,'Calculation engine'!$AD$8:$AI$84,6,FALSE)</f>
        <v>-</v>
      </c>
      <c r="I40" s="22"/>
      <c r="J40" s="22"/>
      <c r="K40" s="161"/>
      <c r="L40" s="22"/>
      <c r="M40" s="22">
        <f>E40*I40/1000</f>
        <v>0</v>
      </c>
      <c r="N40" s="249">
        <f>T40*E40</f>
        <v>0</v>
      </c>
      <c r="Q40" s="8"/>
      <c r="R40" s="8"/>
      <c r="S40" s="8"/>
      <c r="T40" s="8">
        <f>VLOOKUP($C40,'Calculation engine'!$AD$8:$AI$84,5,FALSE)</f>
        <v>0</v>
      </c>
    </row>
    <row r="41" spans="2:20" ht="15" customHeight="1" x14ac:dyDescent="0.3">
      <c r="B41" s="155"/>
      <c r="C41" s="136" t="s">
        <v>22</v>
      </c>
      <c r="D41" s="137"/>
      <c r="E41" s="297"/>
      <c r="F41" s="138"/>
      <c r="G41" s="20" t="str">
        <f>VLOOKUP($C41,'Calculation engine'!$AD$8:$AI$84,6,FALSE)</f>
        <v>-</v>
      </c>
      <c r="I41" s="22"/>
      <c r="J41" s="22"/>
      <c r="K41" s="161"/>
      <c r="L41" s="22"/>
      <c r="M41" s="22"/>
      <c r="N41" s="249">
        <f>T41*E41</f>
        <v>0</v>
      </c>
      <c r="Q41" s="8"/>
      <c r="R41" s="8"/>
      <c r="S41" s="8"/>
      <c r="T41" s="8">
        <f>VLOOKUP($C41,'Calculation engine'!$AD$8:$AI$84,5,FALSE)</f>
        <v>0</v>
      </c>
    </row>
    <row r="42" spans="2:20" ht="15" customHeight="1" x14ac:dyDescent="0.3">
      <c r="B42" s="155"/>
      <c r="C42" s="136" t="s">
        <v>22</v>
      </c>
      <c r="D42" s="137"/>
      <c r="E42" s="296"/>
      <c r="F42" s="138"/>
      <c r="G42" s="20" t="str">
        <f>VLOOKUP($C42,'Calculation engine'!$AD$8:$AI$84,6,FALSE)</f>
        <v>-</v>
      </c>
      <c r="I42" s="22"/>
      <c r="J42" s="322"/>
      <c r="K42" s="322"/>
      <c r="L42" s="22"/>
      <c r="M42" s="22">
        <f>E42*I42/1000</f>
        <v>0</v>
      </c>
      <c r="N42" s="249">
        <f>T42*E42</f>
        <v>0</v>
      </c>
      <c r="Q42" s="8"/>
      <c r="R42" s="8"/>
      <c r="S42" s="8"/>
      <c r="T42" s="8">
        <f>VLOOKUP($C42,'Calculation engine'!$AD$8:$AI$84,5,FALSE)</f>
        <v>0</v>
      </c>
    </row>
    <row r="43" spans="2:20" ht="15" customHeight="1" x14ac:dyDescent="0.3">
      <c r="B43" s="158"/>
      <c r="C43" s="141"/>
      <c r="D43" s="141"/>
      <c r="E43" s="142"/>
      <c r="F43" s="142"/>
      <c r="G43" s="312" t="s">
        <v>34</v>
      </c>
      <c r="H43" s="312"/>
      <c r="I43" s="312"/>
      <c r="J43" s="312"/>
      <c r="K43" s="312"/>
      <c r="L43" s="312"/>
      <c r="M43" s="162"/>
      <c r="N43" s="251">
        <f>SUM(N40:N42)</f>
        <v>0</v>
      </c>
    </row>
    <row r="44" spans="2:20" ht="15" customHeight="1" x14ac:dyDescent="0.3">
      <c r="E44" s="20"/>
      <c r="F44" s="20"/>
      <c r="G44" s="160"/>
      <c r="H44" s="160"/>
      <c r="I44" s="160"/>
      <c r="J44" s="160"/>
      <c r="K44" s="160"/>
      <c r="L44" s="160"/>
      <c r="M44" s="24"/>
      <c r="N44" s="24"/>
    </row>
    <row r="45" spans="2:20" ht="15" customHeight="1" x14ac:dyDescent="0.3">
      <c r="B45" s="126"/>
      <c r="C45" s="313" t="s">
        <v>356</v>
      </c>
      <c r="D45" s="202"/>
      <c r="E45" s="315" t="s">
        <v>5</v>
      </c>
      <c r="F45" s="202"/>
      <c r="G45" s="315" t="s">
        <v>6</v>
      </c>
      <c r="H45" s="152"/>
      <c r="I45" s="317"/>
      <c r="J45" s="317"/>
      <c r="K45" s="317"/>
      <c r="L45" s="152"/>
      <c r="M45" s="202"/>
      <c r="N45" s="63" t="s">
        <v>9</v>
      </c>
    </row>
    <row r="46" spans="2:20" ht="15" customHeight="1" x14ac:dyDescent="0.3">
      <c r="B46" s="153"/>
      <c r="C46" s="314"/>
      <c r="D46" s="201"/>
      <c r="E46" s="316"/>
      <c r="F46" s="201"/>
      <c r="G46" s="316"/>
      <c r="H46" s="26"/>
      <c r="I46" s="1"/>
      <c r="J46" s="1"/>
      <c r="K46" s="26"/>
      <c r="L46" s="201"/>
      <c r="M46" s="1"/>
      <c r="N46" s="154" t="s">
        <v>15</v>
      </c>
    </row>
    <row r="47" spans="2:20" ht="15" customHeight="1" x14ac:dyDescent="0.3">
      <c r="B47" s="155"/>
      <c r="C47" s="138" t="s">
        <v>35</v>
      </c>
      <c r="D47" s="138"/>
      <c r="E47" s="138" t="s">
        <v>17</v>
      </c>
      <c r="F47" s="138"/>
      <c r="G47" s="138"/>
      <c r="H47" s="137"/>
      <c r="I47" s="137"/>
      <c r="J47" s="137"/>
      <c r="K47" s="137"/>
      <c r="L47" s="137"/>
      <c r="M47" s="137"/>
      <c r="N47" s="157"/>
      <c r="Q47" s="8" t="s">
        <v>18</v>
      </c>
      <c r="R47" s="8" t="s">
        <v>19</v>
      </c>
      <c r="S47" s="8" t="s">
        <v>20</v>
      </c>
      <c r="T47" s="8" t="s">
        <v>21</v>
      </c>
    </row>
    <row r="48" spans="2:20" ht="15" customHeight="1" x14ac:dyDescent="0.3">
      <c r="B48" s="155"/>
      <c r="C48" s="136" t="s">
        <v>22</v>
      </c>
      <c r="D48" s="137"/>
      <c r="E48" s="295"/>
      <c r="F48" s="138"/>
      <c r="G48" s="20" t="str">
        <f>VLOOKUP($C48,'Calculation engine'!$W$8:$AB$78,6,FALSE)</f>
        <v>-</v>
      </c>
      <c r="I48" s="22"/>
      <c r="J48" s="22"/>
      <c r="K48" s="161"/>
      <c r="L48" s="22"/>
      <c r="M48" s="22">
        <f>E48*I48/1000</f>
        <v>0</v>
      </c>
      <c r="N48" s="249">
        <f>T48*E48</f>
        <v>0</v>
      </c>
      <c r="Q48" s="8"/>
      <c r="R48" s="8"/>
      <c r="S48" s="8"/>
      <c r="T48" s="8">
        <f>VLOOKUP($C48,'Calculation engine'!$W$8:$AB$78,5,FALSE)</f>
        <v>0</v>
      </c>
    </row>
    <row r="49" spans="2:20" ht="15" customHeight="1" x14ac:dyDescent="0.3">
      <c r="B49" s="155"/>
      <c r="C49" s="136" t="s">
        <v>22</v>
      </c>
      <c r="D49" s="137"/>
      <c r="E49" s="297"/>
      <c r="F49" s="138"/>
      <c r="G49" s="20" t="str">
        <f>VLOOKUP($C49,'Calculation engine'!$W$8:$AB$78,6,FALSE)</f>
        <v>-</v>
      </c>
      <c r="I49" s="22"/>
      <c r="J49" s="22"/>
      <c r="K49" s="161"/>
      <c r="L49" s="22"/>
      <c r="M49" s="22"/>
      <c r="N49" s="249">
        <f>T49*E49</f>
        <v>0</v>
      </c>
      <c r="Q49" s="8"/>
      <c r="R49" s="8"/>
      <c r="S49" s="8"/>
      <c r="T49" s="8">
        <f>VLOOKUP($C49,'Calculation engine'!$W$8:$AB$78,5,FALSE)</f>
        <v>0</v>
      </c>
    </row>
    <row r="50" spans="2:20" ht="15" customHeight="1" x14ac:dyDescent="0.3">
      <c r="B50" s="155"/>
      <c r="C50" s="136" t="s">
        <v>22</v>
      </c>
      <c r="D50" s="137"/>
      <c r="E50" s="296"/>
      <c r="F50" s="138"/>
      <c r="G50" s="20" t="str">
        <f>VLOOKUP($C50,'Calculation engine'!$W$8:$AB$78,6,FALSE)</f>
        <v>-</v>
      </c>
      <c r="I50" s="22"/>
      <c r="J50" s="322"/>
      <c r="K50" s="322"/>
      <c r="L50" s="22"/>
      <c r="M50" s="22">
        <f>E50*I50/1000</f>
        <v>0</v>
      </c>
      <c r="N50" s="249">
        <f>T50*E50</f>
        <v>0</v>
      </c>
      <c r="Q50" s="8"/>
      <c r="R50" s="8"/>
      <c r="S50" s="8"/>
      <c r="T50" s="8">
        <f>VLOOKUP($C50,'Calculation engine'!$W$8:$AB$78,5,FALSE)</f>
        <v>0</v>
      </c>
    </row>
    <row r="51" spans="2:20" ht="15" customHeight="1" x14ac:dyDescent="0.3">
      <c r="B51" s="158"/>
      <c r="C51" s="141"/>
      <c r="D51" s="141"/>
      <c r="E51" s="142"/>
      <c r="F51" s="142"/>
      <c r="G51" s="312" t="s">
        <v>36</v>
      </c>
      <c r="H51" s="312"/>
      <c r="I51" s="312"/>
      <c r="J51" s="312"/>
      <c r="K51" s="312"/>
      <c r="L51" s="312"/>
      <c r="M51" s="162"/>
      <c r="N51" s="251">
        <f>SUM(N48:N50)</f>
        <v>0</v>
      </c>
    </row>
    <row r="52" spans="2:20" ht="15" customHeight="1" x14ac:dyDescent="0.3">
      <c r="E52" s="20"/>
      <c r="F52" s="20"/>
      <c r="G52" s="160"/>
      <c r="H52" s="160"/>
      <c r="I52" s="160"/>
      <c r="J52" s="160"/>
      <c r="K52" s="160"/>
      <c r="L52" s="160"/>
      <c r="M52" s="24"/>
      <c r="N52" s="197"/>
    </row>
    <row r="53" spans="2:20" ht="15" customHeight="1" x14ac:dyDescent="0.35">
      <c r="B53" s="126"/>
      <c r="C53" s="313" t="s">
        <v>357</v>
      </c>
      <c r="D53" s="202"/>
      <c r="E53" s="315"/>
      <c r="F53" s="202"/>
      <c r="G53" s="315"/>
      <c r="H53" s="152"/>
      <c r="I53" s="317" t="s">
        <v>37</v>
      </c>
      <c r="J53" s="317"/>
      <c r="K53" s="317"/>
      <c r="L53" s="152"/>
      <c r="M53" s="202" t="s">
        <v>8</v>
      </c>
      <c r="N53" s="63"/>
    </row>
    <row r="54" spans="2:20" ht="15" customHeight="1" x14ac:dyDescent="0.3">
      <c r="B54" s="153"/>
      <c r="C54" s="314"/>
      <c r="D54" s="201"/>
      <c r="E54" s="316"/>
      <c r="F54" s="201"/>
      <c r="G54" s="316"/>
      <c r="H54" s="26"/>
      <c r="I54" s="1" t="s">
        <v>11</v>
      </c>
      <c r="J54" s="1" t="s">
        <v>12</v>
      </c>
      <c r="K54" s="1" t="s">
        <v>13</v>
      </c>
      <c r="L54" s="201"/>
      <c r="M54" s="1" t="s">
        <v>14</v>
      </c>
      <c r="N54" s="154"/>
    </row>
    <row r="55" spans="2:20" ht="15" customHeight="1" x14ac:dyDescent="0.3">
      <c r="B55" s="155"/>
      <c r="C55" s="138" t="s">
        <v>38</v>
      </c>
      <c r="D55" s="138"/>
      <c r="E55" s="138"/>
      <c r="F55" s="138"/>
      <c r="G55" s="138"/>
      <c r="H55" s="137"/>
      <c r="I55" s="137"/>
      <c r="J55" s="137"/>
      <c r="K55" s="137"/>
      <c r="L55" s="137"/>
      <c r="M55" s="198"/>
      <c r="N55" s="157"/>
      <c r="Q55" s="2">
        <v>0</v>
      </c>
    </row>
    <row r="56" spans="2:20" s="9" customFormat="1" ht="15" customHeight="1" x14ac:dyDescent="0.3">
      <c r="B56" s="155"/>
      <c r="C56" s="159"/>
      <c r="D56" s="137"/>
      <c r="E56" s="217"/>
      <c r="F56" s="138"/>
      <c r="G56" s="138"/>
      <c r="H56" s="156"/>
      <c r="I56" s="199">
        <v>0</v>
      </c>
      <c r="J56" s="199">
        <v>0</v>
      </c>
      <c r="K56" s="199">
        <v>0</v>
      </c>
      <c r="L56" s="203"/>
      <c r="M56" s="248">
        <f>SUM(I56:K56)</f>
        <v>0</v>
      </c>
      <c r="N56" s="140"/>
      <c r="Q56" s="9">
        <v>25000</v>
      </c>
    </row>
    <row r="57" spans="2:20" s="9" customFormat="1" ht="15" customHeight="1" x14ac:dyDescent="0.3">
      <c r="B57" s="155"/>
      <c r="C57" s="159"/>
      <c r="D57" s="137"/>
      <c r="E57" s="217"/>
      <c r="F57" s="138"/>
      <c r="G57" s="138"/>
      <c r="H57" s="156"/>
      <c r="I57" s="199">
        <v>0</v>
      </c>
      <c r="J57" s="199">
        <v>0</v>
      </c>
      <c r="K57" s="199">
        <v>0</v>
      </c>
      <c r="L57" s="203"/>
      <c r="M57" s="248">
        <f>SUM(I57:K57)</f>
        <v>0</v>
      </c>
      <c r="N57" s="140"/>
    </row>
    <row r="58" spans="2:20" s="9" customFormat="1" ht="15" customHeight="1" x14ac:dyDescent="0.3">
      <c r="B58" s="158"/>
      <c r="C58" s="141"/>
      <c r="D58" s="141"/>
      <c r="E58" s="142"/>
      <c r="F58" s="142"/>
      <c r="G58" s="312" t="s">
        <v>39</v>
      </c>
      <c r="H58" s="312"/>
      <c r="I58" s="312"/>
      <c r="J58" s="312"/>
      <c r="K58" s="312"/>
      <c r="L58" s="312"/>
      <c r="M58" s="250">
        <f>SUM(M56:M57)</f>
        <v>0</v>
      </c>
      <c r="N58" s="143"/>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6"/>
      <c r="C60" s="325" t="s">
        <v>358</v>
      </c>
      <c r="D60" s="327" t="s">
        <v>40</v>
      </c>
      <c r="E60" s="327"/>
      <c r="F60" s="327"/>
      <c r="G60" s="327"/>
      <c r="H60" s="163"/>
      <c r="I60" s="163"/>
      <c r="J60" s="164"/>
      <c r="K60" s="164"/>
      <c r="L60" s="327" t="s">
        <v>41</v>
      </c>
      <c r="M60" s="327"/>
      <c r="N60" s="165"/>
    </row>
    <row r="61" spans="2:20" s="9" customFormat="1" ht="15" customHeight="1" x14ac:dyDescent="0.3">
      <c r="B61" s="144"/>
      <c r="C61" s="314"/>
      <c r="D61" s="316"/>
      <c r="E61" s="316"/>
      <c r="F61" s="316"/>
      <c r="G61" s="316"/>
      <c r="H61" s="26"/>
      <c r="I61" s="1"/>
      <c r="J61" s="166"/>
      <c r="K61" s="166"/>
      <c r="L61" s="316"/>
      <c r="M61" s="316"/>
      <c r="N61" s="167"/>
    </row>
    <row r="62" spans="2:20" s="9" customFormat="1" ht="15" customHeight="1" x14ac:dyDescent="0.3">
      <c r="B62" s="144"/>
      <c r="C62" s="65" t="s">
        <v>42</v>
      </c>
      <c r="D62" s="331">
        <f>M16+M28+M58</f>
        <v>0</v>
      </c>
      <c r="E62" s="331"/>
      <c r="F62" s="20"/>
      <c r="G62" s="9" t="s">
        <v>43</v>
      </c>
      <c r="L62" s="247">
        <f>IFERROR((D62/'Facility 4'!$N$4)*Output!$N$2,0)</f>
        <v>0</v>
      </c>
      <c r="M62" s="190" t="s">
        <v>43</v>
      </c>
      <c r="N62" s="145"/>
    </row>
    <row r="63" spans="2:20" s="9" customFormat="1" ht="15" customHeight="1" x14ac:dyDescent="0.3">
      <c r="B63" s="146"/>
      <c r="C63" s="65" t="s">
        <v>44</v>
      </c>
      <c r="D63" s="331">
        <f>M35</f>
        <v>0</v>
      </c>
      <c r="E63" s="331"/>
      <c r="F63" s="20"/>
      <c r="G63" s="9" t="s">
        <v>43</v>
      </c>
      <c r="L63" s="247">
        <f>IFERROR((D63/'Facility 4'!$N$4)*Output!$N$2,0)</f>
        <v>0</v>
      </c>
      <c r="M63" s="190" t="s">
        <v>43</v>
      </c>
      <c r="N63" s="49"/>
    </row>
    <row r="64" spans="2:20" ht="15" customHeight="1" x14ac:dyDescent="0.3">
      <c r="B64" s="146"/>
      <c r="C64" s="14" t="s">
        <v>45</v>
      </c>
      <c r="D64" s="337">
        <f>D62+D63</f>
        <v>0</v>
      </c>
      <c r="E64" s="338"/>
      <c r="F64" s="20"/>
      <c r="G64" s="191" t="s">
        <v>46</v>
      </c>
      <c r="H64" s="191"/>
      <c r="I64" s="9"/>
      <c r="J64" s="9"/>
      <c r="K64" s="9"/>
      <c r="L64" s="252">
        <f>IFERROR((D64/'Facility 4'!$N$4)*Output!$N$2,0)</f>
        <v>0</v>
      </c>
      <c r="M64" s="192" t="s">
        <v>46</v>
      </c>
      <c r="N64" s="211"/>
    </row>
    <row r="65" spans="2:14" ht="15" customHeight="1" x14ac:dyDescent="0.3">
      <c r="B65" s="146"/>
      <c r="C65" s="15" t="s">
        <v>47</v>
      </c>
      <c r="D65" s="339">
        <f>N16+N28+N35+N43</f>
        <v>0</v>
      </c>
      <c r="E65" s="340"/>
      <c r="F65" s="193"/>
      <c r="G65" s="51" t="s">
        <v>48</v>
      </c>
      <c r="H65" s="51"/>
      <c r="I65" s="194"/>
      <c r="J65" s="194"/>
      <c r="K65" s="194"/>
      <c r="L65" s="252">
        <f>IFERROR((D65/'Facility 4'!$N$4)*Output!$N$2,0)</f>
        <v>0</v>
      </c>
      <c r="M65" s="85" t="s">
        <v>48</v>
      </c>
      <c r="N65" s="55"/>
    </row>
    <row r="66" spans="2:14" ht="15" customHeight="1" x14ac:dyDescent="0.3">
      <c r="B66" s="147"/>
      <c r="C66" s="17" t="s">
        <v>49</v>
      </c>
      <c r="D66" s="341">
        <f>N51</f>
        <v>0</v>
      </c>
      <c r="E66" s="342"/>
      <c r="F66" s="195"/>
      <c r="G66" s="57" t="s">
        <v>48</v>
      </c>
      <c r="H66" s="57"/>
      <c r="I66" s="196"/>
      <c r="J66" s="196"/>
      <c r="K66" s="196"/>
      <c r="L66" s="253">
        <f>IFERROR((D66/'Facility 4'!$N$4)*Output!$N$2,0)</f>
        <v>0</v>
      </c>
      <c r="M66" s="86"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48"/>
      <c r="C68" s="325" t="s">
        <v>359</v>
      </c>
      <c r="D68" s="325"/>
      <c r="E68" s="325"/>
      <c r="F68" s="325"/>
      <c r="G68" s="325"/>
      <c r="H68" s="325"/>
      <c r="I68" s="325"/>
      <c r="J68" s="325"/>
      <c r="K68" s="325"/>
      <c r="L68" s="325"/>
      <c r="M68" s="325"/>
      <c r="N68" s="329"/>
    </row>
    <row r="69" spans="2:14" ht="15" customHeight="1" x14ac:dyDescent="0.3">
      <c r="B69" s="18"/>
      <c r="C69" s="314"/>
      <c r="D69" s="314"/>
      <c r="E69" s="314"/>
      <c r="F69" s="314"/>
      <c r="G69" s="314"/>
      <c r="H69" s="314"/>
      <c r="I69" s="314"/>
      <c r="J69" s="314"/>
      <c r="K69" s="314"/>
      <c r="L69" s="314"/>
      <c r="M69" s="314"/>
      <c r="N69" s="330"/>
    </row>
    <row r="70" spans="2:14" ht="15" customHeight="1" x14ac:dyDescent="0.3">
      <c r="B70" s="19"/>
      <c r="C70" s="326" t="s">
        <v>50</v>
      </c>
      <c r="D70" s="30"/>
      <c r="E70" s="31" t="s">
        <v>51</v>
      </c>
      <c r="F70" s="336" t="str">
        <f>IF(L64&gt;=25000,"You may have triggered the emissions reporting threshold for this facility. Please contact the Clean Energy Regulator",IF(L64&gt;21000, "You are close to the emissions reporting threshold for this facility. Please contact the Clean Energy Regulator",""))</f>
        <v/>
      </c>
      <c r="G70" s="336"/>
      <c r="H70" s="336"/>
      <c r="I70" s="336"/>
      <c r="J70" s="336"/>
      <c r="K70" s="336"/>
      <c r="L70" s="336"/>
      <c r="M70" s="336"/>
      <c r="N70" s="32" t="s">
        <v>52</v>
      </c>
    </row>
    <row r="71" spans="2:14" ht="15" customHeight="1" x14ac:dyDescent="0.35">
      <c r="B71" s="144"/>
      <c r="C71" s="326"/>
      <c r="D71" s="33"/>
      <c r="E71" s="332">
        <f>L64</f>
        <v>0</v>
      </c>
      <c r="F71" s="332"/>
      <c r="G71" s="332"/>
      <c r="H71" s="332"/>
      <c r="I71" s="332"/>
      <c r="J71" s="332"/>
      <c r="K71" s="332"/>
      <c r="L71" s="332"/>
      <c r="M71" s="332"/>
      <c r="N71" s="333"/>
    </row>
    <row r="72" spans="2:14" ht="15" customHeight="1" x14ac:dyDescent="0.35">
      <c r="B72" s="144"/>
      <c r="C72" s="326" t="s">
        <v>53</v>
      </c>
      <c r="D72" s="33"/>
      <c r="E72" s="34" t="s">
        <v>54</v>
      </c>
      <c r="F72" s="343" t="str">
        <f>IF(L65&gt;=100000,"You may have triggered the energy reporting threshold for this facility. Please contact the Clean Energy Regulator",IF(L65&gt;90000, "You are close to the energy reporting threshold for this facility. Please contact the Clean Energy Regulator",""))</f>
        <v/>
      </c>
      <c r="G72" s="343"/>
      <c r="H72" s="343"/>
      <c r="I72" s="343"/>
      <c r="J72" s="343"/>
      <c r="K72" s="343"/>
      <c r="L72" s="343"/>
      <c r="M72" s="343"/>
      <c r="N72" s="35" t="s">
        <v>55</v>
      </c>
    </row>
    <row r="73" spans="2:14" ht="17.55" customHeight="1" x14ac:dyDescent="0.3">
      <c r="B73" s="144"/>
      <c r="C73" s="326"/>
      <c r="E73" s="332">
        <f>L65</f>
        <v>0</v>
      </c>
      <c r="F73" s="332"/>
      <c r="G73" s="332"/>
      <c r="H73" s="332"/>
      <c r="I73" s="332"/>
      <c r="J73" s="332"/>
      <c r="K73" s="332"/>
      <c r="L73" s="332"/>
      <c r="M73" s="332"/>
      <c r="N73" s="333"/>
    </row>
    <row r="74" spans="2:14" ht="17.55" customHeight="1" x14ac:dyDescent="0.3">
      <c r="B74" s="144"/>
      <c r="C74" s="326" t="s">
        <v>56</v>
      </c>
      <c r="E74" s="34" t="s">
        <v>54</v>
      </c>
      <c r="F74" s="343" t="str">
        <f>IF(L66&gt;=100000,"You may have triggered the energy reporting threshold for this facility. Please contact the Clean Energy Regulator",IF(L66&gt;90000, "You are close to the energy reporting threshold for this facility. Please contact the Clean Energy Regulator",""))</f>
        <v/>
      </c>
      <c r="G74" s="343"/>
      <c r="H74" s="343"/>
      <c r="I74" s="343"/>
      <c r="J74" s="343"/>
      <c r="K74" s="343"/>
      <c r="L74" s="343"/>
      <c r="M74" s="343"/>
      <c r="N74" s="35" t="s">
        <v>55</v>
      </c>
    </row>
    <row r="75" spans="2:14" ht="17.55" customHeight="1" x14ac:dyDescent="0.3">
      <c r="B75" s="149"/>
      <c r="C75" s="328"/>
      <c r="D75" s="150"/>
      <c r="E75" s="334">
        <f>L66</f>
        <v>0</v>
      </c>
      <c r="F75" s="334"/>
      <c r="G75" s="334"/>
      <c r="H75" s="334"/>
      <c r="I75" s="334"/>
      <c r="J75" s="334"/>
      <c r="K75" s="334"/>
      <c r="L75" s="334"/>
      <c r="M75" s="334"/>
      <c r="N75" s="335"/>
    </row>
    <row r="76" spans="2:14" ht="17.55" hidden="1" customHeight="1" x14ac:dyDescent="0.3"/>
    <row r="77" spans="2:14" ht="17.55" hidden="1" customHeight="1" x14ac:dyDescent="0.3"/>
    <row r="78" spans="2:14" ht="17.55" hidden="1" customHeight="1" x14ac:dyDescent="0.3"/>
    <row r="79" spans="2:14" ht="17.55" hidden="1" customHeight="1" x14ac:dyDescent="0.3"/>
    <row r="80" spans="2:14" ht="17.55" hidden="1" customHeight="1" x14ac:dyDescent="0.3"/>
    <row r="81" ht="17.55" hidden="1" customHeight="1" x14ac:dyDescent="0.3"/>
    <row r="82" ht="17.55" hidden="1" customHeight="1" x14ac:dyDescent="0.3"/>
    <row r="83" ht="17.55" hidden="1" customHeight="1" x14ac:dyDescent="0.3"/>
    <row r="84" ht="17.55" hidden="1" customHeight="1" x14ac:dyDescent="0.3"/>
    <row r="85" ht="17.55" hidden="1" customHeight="1" x14ac:dyDescent="0.3"/>
    <row r="86" ht="17.55" hidden="1" customHeight="1" x14ac:dyDescent="0.3"/>
    <row r="87" ht="17.55" hidden="1" customHeight="1" x14ac:dyDescent="0.3"/>
    <row r="88" ht="17.55" hidden="1" customHeight="1" x14ac:dyDescent="0.3"/>
    <row r="89" ht="17.55" hidden="1" customHeight="1" x14ac:dyDescent="0.3"/>
    <row r="90" ht="17.55" hidden="1" customHeight="1" x14ac:dyDescent="0.3"/>
    <row r="91" ht="17.55" hidden="1" customHeight="1" x14ac:dyDescent="0.3"/>
    <row r="92" ht="17.55" hidden="1" customHeight="1" x14ac:dyDescent="0.3"/>
    <row r="93" ht="17.55" hidden="1" customHeight="1" x14ac:dyDescent="0.3"/>
    <row r="94" ht="17.55" hidden="1" customHeight="1" x14ac:dyDescent="0.3"/>
    <row r="95" ht="17.55" hidden="1" customHeight="1" x14ac:dyDescent="0.3"/>
    <row r="96" ht="17.55" hidden="1" customHeight="1" x14ac:dyDescent="0.3"/>
    <row r="97" ht="17.55" hidden="1" customHeight="1" x14ac:dyDescent="0.3"/>
    <row r="98" ht="17.55" hidden="1" customHeight="1" x14ac:dyDescent="0.3"/>
  </sheetData>
  <sheetProtection algorithmName="SHA-256" hashValue="/lu/3XdjuhBNg/mYyP58va4BzDMj3OHnfqyHMmf5ZCI=" saltValue="J/qWpsLT8ZbKYUwDmq8vog=="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{7D89524D-71B9-4EC2-B0AE-F7EF5700C493}</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{C55C9143-8832-444B-B70C-21152BDD89A5}</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{CC7D77FD-860E-468F-870A-5E44754F389F}</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{3C2DC4E4-0E89-490A-80E6-3A3A2CA94202}</x14:id>
        </ext>
      </extLst>
    </cfRule>
  </conditionalFormatting>
  <conditionalFormatting sqref="G21:N27">
    <cfRule type="cellIs" dxfId="52" priority="7" operator="equal">
      <formula>0</formula>
    </cfRule>
  </conditionalFormatting>
  <conditionalFormatting sqref="H40:N42">
    <cfRule type="cellIs" dxfId="51" priority="6" operator="equal">
      <formula>0</formula>
    </cfRule>
  </conditionalFormatting>
  <conditionalFormatting sqref="H48:N50">
    <cfRule type="cellIs" dxfId="50" priority="5" operator="equal">
      <formula>0</formula>
    </cfRule>
  </conditionalFormatting>
  <conditionalFormatting sqref="I33:I34 I41">
    <cfRule type="cellIs" dxfId="49" priority="17" operator="equal">
      <formula>0.64</formula>
    </cfRule>
  </conditionalFormatting>
  <conditionalFormatting sqref="I33:J34 M33:N34 I41:M41 C65">
    <cfRule type="cellIs" dxfId="48" priority="16" operator="equal">
      <formula>0</formula>
    </cfRule>
  </conditionalFormatting>
  <conditionalFormatting sqref="I49:M49">
    <cfRule type="aboveAverage" dxfId="47" priority="14"/>
  </conditionalFormatting>
  <conditionalFormatting sqref="I9:N15">
    <cfRule type="cellIs" dxfId="46" priority="11" operator="equal">
      <formula>0</formula>
    </cfRule>
  </conditionalFormatting>
  <conditionalFormatting sqref="I40:N40 N41:N42 J42 L42:M42">
    <cfRule type="cellIs" dxfId="45" priority="15" operator="equal">
      <formula>0</formula>
    </cfRule>
  </conditionalFormatting>
  <conditionalFormatting sqref="I48:N48 N49:N50 J50 L50:M50">
    <cfRule type="cellIs" dxfId="44" priority="13" operator="equal">
      <formula>0</formula>
    </cfRule>
  </conditionalFormatting>
  <conditionalFormatting sqref="L57 N57">
    <cfRule type="cellIs" dxfId="43"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{6E3ED9F3-9BCE-4CBA-8A28-0E4663D591D1}</x14:id>
        </ext>
      </extLst>
    </cfRule>
  </conditionalFormatting>
  <conditionalFormatting sqref="N4">
    <cfRule type="expression" dxfId="42" priority="3">
      <formula>M4="No specific period"</formula>
    </cfRule>
    <cfRule type="cellIs" dxfId="41" priority="4" operator="equal">
      <formula>"# of days?"</formula>
    </cfRule>
  </conditionalFormatting>
  <dataValidations count="1">
    <dataValidation type="list" allowBlank="1" showInputMessage="1" showErrorMessage="1" sqref="M4" xr:uid="{00000000-0002-0000-04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7D89524D-71B9-4EC2-B0AE-F7EF5700C493}">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C55C9143-8832-444B-B70C-21152BDD89A5}">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C7D77FD-860E-468F-870A-5E44754F389F}">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3C2DC4E4-0E89-490A-80E6-3A3A2CA94202}">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6E3ED9F3-9BCE-4CBA-8A28-0E4663D591D1}">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3000000}">
          <x14:formula1>
            <xm:f>'Calculation engine'!$Q$10:$Q$19</xm:f>
          </x14:formula1>
          <xm:sqref>C33:C34</xm:sqref>
        </x14:dataValidation>
        <x14:dataValidation type="list" allowBlank="1" showInputMessage="1" showErrorMessage="1" xr:uid="{00000000-0002-0000-0400-000005000000}">
          <x14:formula1>
            <xm:f>'Calculation engine'!$B$8:$B$35</xm:f>
          </x14:formula1>
          <xm:sqref>C9:C15</xm:sqref>
        </x14:dataValidation>
        <x14:dataValidation type="list" allowBlank="1" showInputMessage="1" showErrorMessage="1" xr:uid="{00000000-0002-0000-0400-000004000000}">
          <x14:formula1>
            <xm:f>'Calculation engine'!$I$8:$I$68</xm:f>
          </x14:formula1>
          <xm:sqref>C21:C27</xm:sqref>
        </x14:dataValidation>
        <x14:dataValidation type="list" allowBlank="1" showInputMessage="1" showErrorMessage="1" xr:uid="{00000000-0002-0000-0400-000001000000}">
          <x14:formula1>
            <xm:f>'Calculation engine'!$W$8:$W$78</xm:f>
          </x14:formula1>
          <xm:sqref>C48:C50</xm:sqref>
        </x14:dataValidation>
        <x14:dataValidation type="list" allowBlank="1" showInputMessage="1" showErrorMessage="1" xr:uid="{00000000-0002-0000-0400-000002000000}">
          <x14:formula1>
            <xm:f>'Calculation engine'!$AD$8:$AD$84</xm:f>
          </x14:formula1>
          <xm:sqref>C40:C42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98"/>
  <sheetViews>
    <sheetView showRowColHeaders="0" zoomScaleNormal="100" workbookViewId="0">
      <selection activeCell="E4" sqref="E4:H4"/>
    </sheetView>
  </sheetViews>
  <sheetFormatPr defaultColWidth="0" defaultRowHeight="15" customHeight="1" zeroHeight="1" x14ac:dyDescent="0.3"/>
  <cols>
    <col min="1" max="2" width="4" style="2" customWidth="1"/>
    <col min="3" max="3" width="67.5546875" style="2" customWidth="1"/>
    <col min="4" max="4" width="3.44140625" style="2" customWidth="1"/>
    <col min="5" max="5" width="19.5546875" style="2" customWidth="1"/>
    <col min="6" max="6" width="3.5546875" style="2" customWidth="1"/>
    <col min="7" max="8" width="9.21875" style="2" customWidth="1"/>
    <col min="9" max="9" width="13.5546875" style="2" customWidth="1"/>
    <col min="10" max="10" width="12.21875" style="2" customWidth="1"/>
    <col min="11" max="11" width="11.77734375" style="2" customWidth="1"/>
    <col min="12" max="12" width="22.5546875" style="2" customWidth="1"/>
    <col min="13" max="13" width="23.77734375" style="2" customWidth="1"/>
    <col min="14" max="14" width="23.44140625" style="2" customWidth="1"/>
    <col min="15" max="15" width="4.5546875" style="2" hidden="1" customWidth="1"/>
    <col min="16" max="20" width="0" style="2" hidden="1" customWidth="1"/>
    <col min="21" max="16384" width="9.21875" style="2" hidden="1"/>
  </cols>
  <sheetData>
    <row r="1" spans="2:20" ht="203.25" customHeight="1" x14ac:dyDescent="0.3"/>
    <row r="2" spans="2:20" ht="33" customHeight="1" x14ac:dyDescent="0.3">
      <c r="B2" s="181"/>
      <c r="C2" s="311" t="s">
        <v>351</v>
      </c>
      <c r="D2" s="311"/>
      <c r="E2" s="311"/>
      <c r="F2" s="311"/>
      <c r="G2" s="311"/>
      <c r="H2" s="311"/>
      <c r="I2" s="311"/>
      <c r="J2" s="311"/>
      <c r="K2" s="311"/>
      <c r="L2" s="311"/>
      <c r="M2" s="311"/>
      <c r="N2" s="311"/>
    </row>
    <row r="3" spans="2:20" ht="15" customHeight="1" x14ac:dyDescent="0.3">
      <c r="B3" s="151"/>
      <c r="C3" s="151"/>
      <c r="D3" s="151"/>
      <c r="E3" s="151"/>
      <c r="F3" s="151"/>
      <c r="G3" s="151"/>
      <c r="H3" s="151"/>
      <c r="I3" s="151"/>
      <c r="J3" s="151"/>
      <c r="K3" s="151"/>
      <c r="L3" s="151"/>
      <c r="M3" s="151"/>
      <c r="N3" s="20" t="str">
        <f>IF(M4="Part year","Enter days below","")</f>
        <v/>
      </c>
      <c r="Q3" s="2" t="s">
        <v>1</v>
      </c>
    </row>
    <row r="4" spans="2:20" ht="15" customHeight="1" x14ac:dyDescent="0.3">
      <c r="B4" s="181"/>
      <c r="C4" s="201" t="s">
        <v>2</v>
      </c>
      <c r="D4" s="151"/>
      <c r="E4" s="318"/>
      <c r="F4" s="319"/>
      <c r="G4" s="319"/>
      <c r="H4" s="320"/>
      <c r="I4" s="151"/>
      <c r="J4" s="316" t="s">
        <v>3</v>
      </c>
      <c r="K4" s="321"/>
      <c r="L4" s="321"/>
      <c r="M4" s="66" t="s">
        <v>1</v>
      </c>
      <c r="N4" s="66">
        <f>IF(M4="Full year",365,"")</f>
        <v>365</v>
      </c>
      <c r="Q4" s="2" t="s">
        <v>4</v>
      </c>
    </row>
    <row r="5" spans="2:20" ht="14.4" x14ac:dyDescent="0.3"/>
    <row r="6" spans="2:20" ht="15" customHeight="1" x14ac:dyDescent="0.3">
      <c r="B6" s="126"/>
      <c r="C6" s="313" t="s">
        <v>352</v>
      </c>
      <c r="D6" s="202"/>
      <c r="E6" s="315" t="s">
        <v>5</v>
      </c>
      <c r="F6" s="202"/>
      <c r="G6" s="315" t="s">
        <v>6</v>
      </c>
      <c r="H6" s="152"/>
      <c r="I6" s="317" t="s">
        <v>7</v>
      </c>
      <c r="J6" s="317"/>
      <c r="K6" s="317"/>
      <c r="L6" s="152"/>
      <c r="M6" s="202" t="s">
        <v>8</v>
      </c>
      <c r="N6" s="63" t="s">
        <v>9</v>
      </c>
      <c r="Q6" s="2" t="s">
        <v>10</v>
      </c>
    </row>
    <row r="7" spans="2:20" ht="14.25" customHeight="1" x14ac:dyDescent="0.3">
      <c r="B7" s="153"/>
      <c r="C7" s="314"/>
      <c r="D7" s="201"/>
      <c r="E7" s="316"/>
      <c r="F7" s="201"/>
      <c r="G7" s="316"/>
      <c r="H7" s="26"/>
      <c r="I7" s="1" t="s">
        <v>11</v>
      </c>
      <c r="J7" s="1" t="s">
        <v>12</v>
      </c>
      <c r="K7" s="1" t="s">
        <v>13</v>
      </c>
      <c r="L7" s="201"/>
      <c r="M7" s="1" t="s">
        <v>14</v>
      </c>
      <c r="N7" s="154" t="s">
        <v>15</v>
      </c>
    </row>
    <row r="8" spans="2:20" ht="14.4" x14ac:dyDescent="0.3">
      <c r="B8" s="155"/>
      <c r="C8" s="138" t="s">
        <v>16</v>
      </c>
      <c r="D8" s="138"/>
      <c r="E8" s="138" t="s">
        <v>17</v>
      </c>
      <c r="F8" s="138"/>
      <c r="G8" s="138"/>
      <c r="H8" s="137"/>
      <c r="I8" s="137"/>
      <c r="J8" s="137"/>
      <c r="K8" s="137"/>
      <c r="L8" s="137"/>
      <c r="M8" s="137"/>
      <c r="N8" s="157"/>
      <c r="Q8" s="8" t="s">
        <v>18</v>
      </c>
      <c r="R8" s="8" t="s">
        <v>19</v>
      </c>
      <c r="S8" s="8" t="s">
        <v>20</v>
      </c>
      <c r="T8" s="8" t="s">
        <v>21</v>
      </c>
    </row>
    <row r="9" spans="2:20" ht="15" customHeight="1" x14ac:dyDescent="0.3">
      <c r="B9" s="155"/>
      <c r="C9" s="136" t="s">
        <v>22</v>
      </c>
      <c r="D9" s="137"/>
      <c r="E9" s="295"/>
      <c r="F9" s="138"/>
      <c r="G9" s="20" t="str">
        <f>VLOOKUP($C9,'Calculation engine'!$B$8:$G$35,6,FALSE)</f>
        <v>-</v>
      </c>
      <c r="H9" s="139"/>
      <c r="I9" s="248">
        <f>Q9*$N9/1000</f>
        <v>0</v>
      </c>
      <c r="J9" s="248">
        <f>R9*$N9/1000</f>
        <v>0</v>
      </c>
      <c r="K9" s="248">
        <f>S9*$N9/1000</f>
        <v>0</v>
      </c>
      <c r="L9" s="203"/>
      <c r="M9" s="248">
        <f>SUM(I9:K9)</f>
        <v>0</v>
      </c>
      <c r="N9" s="249">
        <f>T9*E9</f>
        <v>0</v>
      </c>
      <c r="Q9" s="8">
        <f>VLOOKUP($C9,'Calculation engine'!$B$8:$G$35,3,FALSE)</f>
        <v>0</v>
      </c>
      <c r="R9" s="8">
        <f>VLOOKUP($C9,'Calculation engine'!$B$8:$G$35,4,FALSE)</f>
        <v>0</v>
      </c>
      <c r="S9" s="8">
        <f>VLOOKUP($C9,'Calculation engine'!$B$8:$G$35,5,FALSE)</f>
        <v>0</v>
      </c>
      <c r="T9" s="8">
        <f>VLOOKUP($C9,'Calculation engine'!$B$8:$G$35,2,FALSE)</f>
        <v>0</v>
      </c>
    </row>
    <row r="10" spans="2:20" ht="15" customHeight="1" x14ac:dyDescent="0.3">
      <c r="B10" s="155"/>
      <c r="C10" s="136" t="s">
        <v>22</v>
      </c>
      <c r="D10" s="137"/>
      <c r="E10" s="306"/>
      <c r="F10" s="138"/>
      <c r="G10" s="20" t="str">
        <f>VLOOKUP($C10,'Calculation engine'!$B$8:$G$35,6,FALSE)</f>
        <v>-</v>
      </c>
      <c r="H10" s="139"/>
      <c r="I10" s="248">
        <f t="shared" ref="I10:K15" si="0">Q10*$N10/1000</f>
        <v>0</v>
      </c>
      <c r="J10" s="248">
        <f t="shared" si="0"/>
        <v>0</v>
      </c>
      <c r="K10" s="248">
        <f t="shared" si="0"/>
        <v>0</v>
      </c>
      <c r="L10" s="203"/>
      <c r="M10" s="248">
        <f t="shared" ref="M10:M15" si="1">SUM(I10:K10)</f>
        <v>0</v>
      </c>
      <c r="N10" s="249">
        <f t="shared" ref="N10:N15" si="2">T10*E10</f>
        <v>0</v>
      </c>
      <c r="Q10" s="8">
        <f>VLOOKUP($C10,'Calculation engine'!$B$8:$G$35,3,FALSE)</f>
        <v>0</v>
      </c>
      <c r="R10" s="8">
        <f>VLOOKUP($C10,'Calculation engine'!$B$8:$G$35,4,FALSE)</f>
        <v>0</v>
      </c>
      <c r="S10" s="8">
        <f>VLOOKUP($C10,'Calculation engine'!$B$8:$G$35,5,FALSE)</f>
        <v>0</v>
      </c>
      <c r="T10" s="8">
        <f>VLOOKUP($C10,'Calculation engine'!$B$8:$G$35,2,FALSE)</f>
        <v>0</v>
      </c>
    </row>
    <row r="11" spans="2:20" ht="15" customHeight="1" x14ac:dyDescent="0.3">
      <c r="B11" s="155"/>
      <c r="C11" s="136" t="s">
        <v>22</v>
      </c>
      <c r="D11" s="137"/>
      <c r="E11" s="306"/>
      <c r="F11" s="138"/>
      <c r="G11" s="20" t="str">
        <f>VLOOKUP($C11,'Calculation engine'!$B$8:$G$35,6,FALSE)</f>
        <v>-</v>
      </c>
      <c r="H11" s="139"/>
      <c r="I11" s="248">
        <f t="shared" si="0"/>
        <v>0</v>
      </c>
      <c r="J11" s="248">
        <f t="shared" si="0"/>
        <v>0</v>
      </c>
      <c r="K11" s="248">
        <f t="shared" si="0"/>
        <v>0</v>
      </c>
      <c r="L11" s="203"/>
      <c r="M11" s="248">
        <f>SUM(I11:K11)</f>
        <v>0</v>
      </c>
      <c r="N11" s="249">
        <f>T11*E11</f>
        <v>0</v>
      </c>
      <c r="Q11" s="8">
        <f>VLOOKUP($C11,'Calculation engine'!$B$8:$G$35,3,FALSE)</f>
        <v>0</v>
      </c>
      <c r="R11" s="8">
        <f>VLOOKUP($C11,'Calculation engine'!$B$8:$G$35,4,FALSE)</f>
        <v>0</v>
      </c>
      <c r="S11" s="8">
        <f>VLOOKUP($C11,'Calculation engine'!$B$8:$G$35,5,FALSE)</f>
        <v>0</v>
      </c>
      <c r="T11" s="8">
        <f>VLOOKUP($C11,'Calculation engine'!$B$8:$G$35,2,FALSE)</f>
        <v>0</v>
      </c>
    </row>
    <row r="12" spans="2:20" ht="15" customHeight="1" x14ac:dyDescent="0.3">
      <c r="B12" s="155"/>
      <c r="C12" s="136" t="s">
        <v>22</v>
      </c>
      <c r="D12" s="137"/>
      <c r="E12" s="306"/>
      <c r="F12" s="138"/>
      <c r="G12" s="20" t="str">
        <f>VLOOKUP($C12,'Calculation engine'!$B$8:$G$35,6,FALSE)</f>
        <v>-</v>
      </c>
      <c r="H12" s="139"/>
      <c r="I12" s="248">
        <f t="shared" si="0"/>
        <v>0</v>
      </c>
      <c r="J12" s="248">
        <f t="shared" si="0"/>
        <v>0</v>
      </c>
      <c r="K12" s="248">
        <f t="shared" si="0"/>
        <v>0</v>
      </c>
      <c r="L12" s="203"/>
      <c r="M12" s="248">
        <f>SUM(I12:K12)</f>
        <v>0</v>
      </c>
      <c r="N12" s="249">
        <f>T12*E12</f>
        <v>0</v>
      </c>
      <c r="Q12" s="8">
        <f>VLOOKUP($C12,'Calculation engine'!$B$8:$G$35,3,FALSE)</f>
        <v>0</v>
      </c>
      <c r="R12" s="8">
        <f>VLOOKUP($C12,'Calculation engine'!$B$8:$G$35,4,FALSE)</f>
        <v>0</v>
      </c>
      <c r="S12" s="8">
        <f>VLOOKUP($C12,'Calculation engine'!$B$8:$G$35,5,FALSE)</f>
        <v>0</v>
      </c>
      <c r="T12" s="8">
        <f>VLOOKUP($C12,'Calculation engine'!$B$8:$G$35,2,FALSE)</f>
        <v>0</v>
      </c>
    </row>
    <row r="13" spans="2:20" ht="15" customHeight="1" x14ac:dyDescent="0.3">
      <c r="B13" s="155"/>
      <c r="C13" s="136" t="s">
        <v>22</v>
      </c>
      <c r="D13" s="137"/>
      <c r="E13" s="306"/>
      <c r="F13" s="138"/>
      <c r="G13" s="20" t="str">
        <f>VLOOKUP($C13,'Calculation engine'!$B$8:$G$35,6,FALSE)</f>
        <v>-</v>
      </c>
      <c r="H13" s="139"/>
      <c r="I13" s="248">
        <f t="shared" si="0"/>
        <v>0</v>
      </c>
      <c r="J13" s="248">
        <f t="shared" si="0"/>
        <v>0</v>
      </c>
      <c r="K13" s="248">
        <f t="shared" si="0"/>
        <v>0</v>
      </c>
      <c r="L13" s="203"/>
      <c r="M13" s="248">
        <f>SUM(I13:K13)</f>
        <v>0</v>
      </c>
      <c r="N13" s="249">
        <f>T13*E13</f>
        <v>0</v>
      </c>
      <c r="Q13" s="8">
        <f>VLOOKUP($C13,'Calculation engine'!$B$8:$G$35,3,FALSE)</f>
        <v>0</v>
      </c>
      <c r="R13" s="8">
        <f>VLOOKUP($C13,'Calculation engine'!$B$8:$G$35,4,FALSE)</f>
        <v>0</v>
      </c>
      <c r="S13" s="8">
        <f>VLOOKUP($C13,'Calculation engine'!$B$8:$G$35,5,FALSE)</f>
        <v>0</v>
      </c>
      <c r="T13" s="8">
        <f>VLOOKUP($C13,'Calculation engine'!$B$8:$G$35,2,FALSE)</f>
        <v>0</v>
      </c>
    </row>
    <row r="14" spans="2:20" ht="15" customHeight="1" x14ac:dyDescent="0.3">
      <c r="B14" s="155"/>
      <c r="C14" s="136" t="s">
        <v>22</v>
      </c>
      <c r="D14" s="137"/>
      <c r="E14" s="306"/>
      <c r="F14" s="138"/>
      <c r="G14" s="20" t="str">
        <f>VLOOKUP($C14,'Calculation engine'!$B$8:$G$35,6,FALSE)</f>
        <v>-</v>
      </c>
      <c r="H14" s="139"/>
      <c r="I14" s="248">
        <f t="shared" si="0"/>
        <v>0</v>
      </c>
      <c r="J14" s="248">
        <f t="shared" si="0"/>
        <v>0</v>
      </c>
      <c r="K14" s="248">
        <f t="shared" si="0"/>
        <v>0</v>
      </c>
      <c r="L14" s="203"/>
      <c r="M14" s="248">
        <f t="shared" si="1"/>
        <v>0</v>
      </c>
      <c r="N14" s="249">
        <f t="shared" si="2"/>
        <v>0</v>
      </c>
      <c r="Q14" s="8">
        <f>VLOOKUP($C14,'Calculation engine'!$B$8:$G$35,3,FALSE)</f>
        <v>0</v>
      </c>
      <c r="R14" s="8">
        <f>VLOOKUP($C14,'Calculation engine'!$B$8:$G$35,4,FALSE)</f>
        <v>0</v>
      </c>
      <c r="S14" s="8">
        <f>VLOOKUP($C14,'Calculation engine'!$B$8:$G$35,5,FALSE)</f>
        <v>0</v>
      </c>
      <c r="T14" s="8">
        <f>VLOOKUP($C14,'Calculation engine'!$B$8:$G$35,2,FALSE)</f>
        <v>0</v>
      </c>
    </row>
    <row r="15" spans="2:20" ht="15" customHeight="1" x14ac:dyDescent="0.3">
      <c r="B15" s="155"/>
      <c r="C15" s="136" t="s">
        <v>22</v>
      </c>
      <c r="D15" s="137"/>
      <c r="E15" s="306"/>
      <c r="F15" s="138"/>
      <c r="G15" s="20" t="str">
        <f>VLOOKUP($C15,'Calculation engine'!$B$8:$G$35,6,FALSE)</f>
        <v>-</v>
      </c>
      <c r="H15" s="139"/>
      <c r="I15" s="248">
        <f t="shared" si="0"/>
        <v>0</v>
      </c>
      <c r="J15" s="248">
        <f t="shared" si="0"/>
        <v>0</v>
      </c>
      <c r="K15" s="248">
        <f t="shared" si="0"/>
        <v>0</v>
      </c>
      <c r="L15" s="203"/>
      <c r="M15" s="248">
        <f t="shared" si="1"/>
        <v>0</v>
      </c>
      <c r="N15" s="249">
        <f t="shared" si="2"/>
        <v>0</v>
      </c>
      <c r="Q15" s="8">
        <f>VLOOKUP($C15,'Calculation engine'!$B$8:$G$35,3,FALSE)</f>
        <v>0</v>
      </c>
      <c r="R15" s="8">
        <f>VLOOKUP($C15,'Calculation engine'!$B$8:$G$35,4,FALSE)</f>
        <v>0</v>
      </c>
      <c r="S15" s="8">
        <f>VLOOKUP($C15,'Calculation engine'!$B$8:$G$35,5,FALSE)</f>
        <v>0</v>
      </c>
      <c r="T15" s="8">
        <f>VLOOKUP($C15,'Calculation engine'!$B$8:$G$35,2,FALSE)</f>
        <v>0</v>
      </c>
    </row>
    <row r="16" spans="2:20" ht="15" customHeight="1" x14ac:dyDescent="0.3">
      <c r="B16" s="158"/>
      <c r="C16" s="141"/>
      <c r="D16" s="141"/>
      <c r="E16" s="142"/>
      <c r="F16" s="142"/>
      <c r="G16" s="312" t="s">
        <v>23</v>
      </c>
      <c r="H16" s="312"/>
      <c r="I16" s="312"/>
      <c r="J16" s="312"/>
      <c r="K16" s="312"/>
      <c r="L16" s="312"/>
      <c r="M16" s="250">
        <f>SUM(M9:M15)</f>
        <v>0</v>
      </c>
      <c r="N16" s="251">
        <f>SUM(N9:N15)</f>
        <v>0</v>
      </c>
    </row>
    <row r="17" spans="2:20" ht="15" customHeight="1" x14ac:dyDescent="0.3">
      <c r="E17" s="20"/>
      <c r="F17" s="20"/>
      <c r="G17" s="20"/>
    </row>
    <row r="18" spans="2:20" ht="15" customHeight="1" x14ac:dyDescent="0.3">
      <c r="B18" s="126"/>
      <c r="C18" s="313" t="s">
        <v>353</v>
      </c>
      <c r="D18" s="202"/>
      <c r="E18" s="315" t="s">
        <v>5</v>
      </c>
      <c r="F18" s="202"/>
      <c r="G18" s="315" t="s">
        <v>6</v>
      </c>
      <c r="H18" s="152"/>
      <c r="I18" s="317" t="s">
        <v>24</v>
      </c>
      <c r="J18" s="317"/>
      <c r="K18" s="317"/>
      <c r="L18" s="152"/>
      <c r="M18" s="202" t="s">
        <v>8</v>
      </c>
      <c r="N18" s="63" t="s">
        <v>9</v>
      </c>
    </row>
    <row r="19" spans="2:20" ht="15.75" customHeight="1" x14ac:dyDescent="0.3">
      <c r="B19" s="153"/>
      <c r="C19" s="314"/>
      <c r="D19" s="201"/>
      <c r="E19" s="316"/>
      <c r="F19" s="201"/>
      <c r="G19" s="316"/>
      <c r="H19" s="26"/>
      <c r="I19" s="1" t="s">
        <v>11</v>
      </c>
      <c r="J19" s="1" t="s">
        <v>12</v>
      </c>
      <c r="K19" s="1" t="s">
        <v>13</v>
      </c>
      <c r="L19" s="201"/>
      <c r="M19" s="1" t="s">
        <v>14</v>
      </c>
      <c r="N19" s="154" t="s">
        <v>15</v>
      </c>
    </row>
    <row r="20" spans="2:20" ht="15" customHeight="1" x14ac:dyDescent="0.3">
      <c r="B20" s="155"/>
      <c r="C20" s="138" t="s">
        <v>16</v>
      </c>
      <c r="D20" s="138"/>
      <c r="E20" s="138" t="s">
        <v>17</v>
      </c>
      <c r="F20" s="138"/>
      <c r="G20" s="138"/>
      <c r="H20" s="137"/>
      <c r="I20" s="137"/>
      <c r="J20" s="137"/>
      <c r="K20" s="137"/>
      <c r="L20" s="137"/>
      <c r="M20" s="137"/>
      <c r="N20" s="157"/>
      <c r="Q20" s="8" t="s">
        <v>18</v>
      </c>
      <c r="R20" s="8" t="s">
        <v>19</v>
      </c>
      <c r="S20" s="8" t="s">
        <v>20</v>
      </c>
      <c r="T20" s="8" t="s">
        <v>21</v>
      </c>
    </row>
    <row r="21" spans="2:20" ht="15" customHeight="1" x14ac:dyDescent="0.3">
      <c r="B21" s="155"/>
      <c r="C21" s="136" t="s">
        <v>22</v>
      </c>
      <c r="D21" s="137"/>
      <c r="E21" s="295"/>
      <c r="F21" s="138"/>
      <c r="G21" s="20" t="str">
        <f>VLOOKUP($C21,'Calculation engine'!$I$8:$N$68,6,FALSE)</f>
        <v>-</v>
      </c>
      <c r="H21" s="139"/>
      <c r="I21" s="248">
        <f t="shared" ref="I21:K27" si="3">Q21*$N21/1000</f>
        <v>0</v>
      </c>
      <c r="J21" s="248">
        <f t="shared" si="3"/>
        <v>0</v>
      </c>
      <c r="K21" s="248">
        <f t="shared" si="3"/>
        <v>0</v>
      </c>
      <c r="L21" s="203"/>
      <c r="M21" s="248">
        <f t="shared" ref="M21:M27" si="4">SUM(I21:K21)</f>
        <v>0</v>
      </c>
      <c r="N21" s="249">
        <f t="shared" ref="N21:N27" si="5">T21*E21</f>
        <v>0</v>
      </c>
      <c r="Q21" s="8">
        <f>VLOOKUP($C21,'Calculation engine'!$I$8:$N$68,3,FALSE)</f>
        <v>0</v>
      </c>
      <c r="R21" s="8">
        <f>VLOOKUP($C21,'Calculation engine'!$I$8:$N$68,4,FALSE)</f>
        <v>0</v>
      </c>
      <c r="S21" s="8">
        <f>VLOOKUP($C21,'Calculation engine'!$I$8:$N$68,5,FALSE)</f>
        <v>0</v>
      </c>
      <c r="T21" s="8">
        <f>VLOOKUP($C21,'Calculation engine'!$I$8:$N$68,2,FALSE)</f>
        <v>0</v>
      </c>
    </row>
    <row r="22" spans="2:20" ht="14.25" customHeight="1" x14ac:dyDescent="0.3">
      <c r="B22" s="155"/>
      <c r="C22" s="136" t="s">
        <v>22</v>
      </c>
      <c r="D22" s="137"/>
      <c r="E22" s="306"/>
      <c r="F22" s="138"/>
      <c r="G22" s="20" t="str">
        <f>VLOOKUP($C22,'Calculation engine'!$I$8:$N$68,6,FALSE)</f>
        <v>-</v>
      </c>
      <c r="H22" s="139"/>
      <c r="I22" s="248">
        <f t="shared" si="3"/>
        <v>0</v>
      </c>
      <c r="J22" s="248">
        <f t="shared" si="3"/>
        <v>0</v>
      </c>
      <c r="K22" s="248">
        <f t="shared" si="3"/>
        <v>0</v>
      </c>
      <c r="L22" s="203"/>
      <c r="M22" s="248">
        <f t="shared" si="4"/>
        <v>0</v>
      </c>
      <c r="N22" s="249">
        <f t="shared" si="5"/>
        <v>0</v>
      </c>
      <c r="Q22" s="8">
        <f>VLOOKUP($C22,'Calculation engine'!$I$8:$N$68,3,FALSE)</f>
        <v>0</v>
      </c>
      <c r="R22" s="8">
        <f>VLOOKUP($C22,'Calculation engine'!$I$8:$N$68,4,FALSE)</f>
        <v>0</v>
      </c>
      <c r="S22" s="8">
        <f>VLOOKUP($C22,'Calculation engine'!$I$8:$N$68,5,FALSE)</f>
        <v>0</v>
      </c>
      <c r="T22" s="8">
        <f>VLOOKUP($C22,'Calculation engine'!$I$8:$N$68,2,FALSE)</f>
        <v>0</v>
      </c>
    </row>
    <row r="23" spans="2:20" ht="15" customHeight="1" x14ac:dyDescent="0.3">
      <c r="B23" s="155"/>
      <c r="C23" s="136" t="s">
        <v>22</v>
      </c>
      <c r="D23" s="137"/>
      <c r="E23" s="306"/>
      <c r="F23" s="138"/>
      <c r="G23" s="20" t="str">
        <f>VLOOKUP($C23,'Calculation engine'!$I$8:$N$68,6,FALSE)</f>
        <v>-</v>
      </c>
      <c r="H23" s="139"/>
      <c r="I23" s="248">
        <f t="shared" si="3"/>
        <v>0</v>
      </c>
      <c r="J23" s="248">
        <f t="shared" si="3"/>
        <v>0</v>
      </c>
      <c r="K23" s="248">
        <f t="shared" si="3"/>
        <v>0</v>
      </c>
      <c r="L23" s="203"/>
      <c r="M23" s="248">
        <f t="shared" si="4"/>
        <v>0</v>
      </c>
      <c r="N23" s="249">
        <f t="shared" si="5"/>
        <v>0</v>
      </c>
      <c r="Q23" s="8">
        <f>VLOOKUP($C23,'Calculation engine'!$I$8:$N$68,3,FALSE)</f>
        <v>0</v>
      </c>
      <c r="R23" s="8">
        <f>VLOOKUP($C23,'Calculation engine'!$I$8:$N$68,4,FALSE)</f>
        <v>0</v>
      </c>
      <c r="S23" s="8">
        <f>VLOOKUP($C23,'Calculation engine'!$I$8:$N$68,5,FALSE)</f>
        <v>0</v>
      </c>
      <c r="T23" s="8">
        <f>VLOOKUP($C23,'Calculation engine'!$I$8:$N$68,2,FALSE)</f>
        <v>0</v>
      </c>
    </row>
    <row r="24" spans="2:20" ht="15" customHeight="1" x14ac:dyDescent="0.3">
      <c r="B24" s="155"/>
      <c r="C24" s="136" t="s">
        <v>22</v>
      </c>
      <c r="D24" s="137"/>
      <c r="E24" s="306"/>
      <c r="F24" s="138"/>
      <c r="G24" s="20" t="str">
        <f>VLOOKUP($C24,'Calculation engine'!$I$8:$N$68,6,FALSE)</f>
        <v>-</v>
      </c>
      <c r="H24" s="139"/>
      <c r="I24" s="248">
        <f t="shared" si="3"/>
        <v>0</v>
      </c>
      <c r="J24" s="248">
        <f t="shared" si="3"/>
        <v>0</v>
      </c>
      <c r="K24" s="248">
        <f t="shared" si="3"/>
        <v>0</v>
      </c>
      <c r="L24" s="203"/>
      <c r="M24" s="248">
        <f t="shared" si="4"/>
        <v>0</v>
      </c>
      <c r="N24" s="249">
        <f t="shared" si="5"/>
        <v>0</v>
      </c>
      <c r="Q24" s="8">
        <f>VLOOKUP($C24,'Calculation engine'!$I$8:$N$68,3,FALSE)</f>
        <v>0</v>
      </c>
      <c r="R24" s="8">
        <f>VLOOKUP($C24,'Calculation engine'!$I$8:$N$68,4,FALSE)</f>
        <v>0</v>
      </c>
      <c r="S24" s="8">
        <f>VLOOKUP($C24,'Calculation engine'!$I$8:$N$68,5,FALSE)</f>
        <v>0</v>
      </c>
      <c r="T24" s="8">
        <f>VLOOKUP($C24,'Calculation engine'!$I$8:$N$68,2,FALSE)</f>
        <v>0</v>
      </c>
    </row>
    <row r="25" spans="2:20" ht="15" customHeight="1" x14ac:dyDescent="0.3">
      <c r="B25" s="155"/>
      <c r="C25" s="136" t="s">
        <v>22</v>
      </c>
      <c r="D25" s="137"/>
      <c r="E25" s="306"/>
      <c r="F25" s="138"/>
      <c r="G25" s="20" t="str">
        <f>VLOOKUP($C25,'Calculation engine'!$I$8:$N$68,6,FALSE)</f>
        <v>-</v>
      </c>
      <c r="H25" s="139"/>
      <c r="I25" s="248">
        <f t="shared" si="3"/>
        <v>0</v>
      </c>
      <c r="J25" s="248">
        <f t="shared" si="3"/>
        <v>0</v>
      </c>
      <c r="K25" s="248">
        <f t="shared" si="3"/>
        <v>0</v>
      </c>
      <c r="L25" s="203"/>
      <c r="M25" s="248">
        <f t="shared" si="4"/>
        <v>0</v>
      </c>
      <c r="N25" s="249">
        <f t="shared" si="5"/>
        <v>0</v>
      </c>
      <c r="Q25" s="8">
        <f>VLOOKUP($C25,'Calculation engine'!$I$8:$N$68,3,FALSE)</f>
        <v>0</v>
      </c>
      <c r="R25" s="8">
        <f>VLOOKUP($C25,'Calculation engine'!$I$8:$N$68,4,FALSE)</f>
        <v>0</v>
      </c>
      <c r="S25" s="8">
        <f>VLOOKUP($C25,'Calculation engine'!$I$8:$N$68,5,FALSE)</f>
        <v>0</v>
      </c>
      <c r="T25" s="8">
        <f>VLOOKUP($C25,'Calculation engine'!$I$8:$N$68,2,FALSE)</f>
        <v>0</v>
      </c>
    </row>
    <row r="26" spans="2:20" ht="15" customHeight="1" x14ac:dyDescent="0.3">
      <c r="B26" s="155"/>
      <c r="C26" s="136" t="s">
        <v>22</v>
      </c>
      <c r="D26" s="137"/>
      <c r="E26" s="306"/>
      <c r="F26" s="138"/>
      <c r="G26" s="20" t="str">
        <f>VLOOKUP($C26,'Calculation engine'!$I$8:$N$68,6,FALSE)</f>
        <v>-</v>
      </c>
      <c r="H26" s="139"/>
      <c r="I26" s="248">
        <f t="shared" si="3"/>
        <v>0</v>
      </c>
      <c r="J26" s="248">
        <f t="shared" si="3"/>
        <v>0</v>
      </c>
      <c r="K26" s="248">
        <f t="shared" si="3"/>
        <v>0</v>
      </c>
      <c r="L26" s="203"/>
      <c r="M26" s="248">
        <f t="shared" si="4"/>
        <v>0</v>
      </c>
      <c r="N26" s="249">
        <f t="shared" si="5"/>
        <v>0</v>
      </c>
      <c r="Q26" s="8">
        <f>VLOOKUP($C26,'Calculation engine'!$I$8:$N$68,3,FALSE)</f>
        <v>0</v>
      </c>
      <c r="R26" s="8">
        <f>VLOOKUP($C26,'Calculation engine'!$I$8:$N$68,4,FALSE)</f>
        <v>0</v>
      </c>
      <c r="S26" s="8">
        <f>VLOOKUP($C26,'Calculation engine'!$I$8:$N$68,5,FALSE)</f>
        <v>0</v>
      </c>
      <c r="T26" s="8">
        <f>VLOOKUP($C26,'Calculation engine'!$I$8:$N$68,2,FALSE)</f>
        <v>0</v>
      </c>
    </row>
    <row r="27" spans="2:20" ht="15" customHeight="1" x14ac:dyDescent="0.3">
      <c r="B27" s="155"/>
      <c r="C27" s="136" t="s">
        <v>22</v>
      </c>
      <c r="D27" s="137"/>
      <c r="E27" s="306"/>
      <c r="F27" s="138"/>
      <c r="G27" s="20" t="str">
        <f>VLOOKUP($C27,'Calculation engine'!$I$8:$N$68,6,FALSE)</f>
        <v>-</v>
      </c>
      <c r="H27" s="139"/>
      <c r="I27" s="248">
        <f t="shared" si="3"/>
        <v>0</v>
      </c>
      <c r="J27" s="248">
        <f t="shared" si="3"/>
        <v>0</v>
      </c>
      <c r="K27" s="248">
        <f t="shared" si="3"/>
        <v>0</v>
      </c>
      <c r="L27" s="203"/>
      <c r="M27" s="248">
        <f t="shared" si="4"/>
        <v>0</v>
      </c>
      <c r="N27" s="249">
        <f t="shared" si="5"/>
        <v>0</v>
      </c>
      <c r="Q27" s="8">
        <f>VLOOKUP($C27,'Calculation engine'!$I$8:$N$68,3,FALSE)</f>
        <v>0</v>
      </c>
      <c r="R27" s="8">
        <f>VLOOKUP($C27,'Calculation engine'!$I$8:$N$68,4,FALSE)</f>
        <v>0</v>
      </c>
      <c r="S27" s="8">
        <f>VLOOKUP($C27,'Calculation engine'!$I$8:$N$68,5,FALSE)</f>
        <v>0</v>
      </c>
      <c r="T27" s="8">
        <f>VLOOKUP($C27,'Calculation engine'!$I$8:$N$68,2,FALSE)</f>
        <v>0</v>
      </c>
    </row>
    <row r="28" spans="2:20" ht="15" customHeight="1" x14ac:dyDescent="0.3">
      <c r="B28" s="158"/>
      <c r="C28" s="141"/>
      <c r="D28" s="141"/>
      <c r="E28" s="142"/>
      <c r="F28" s="142"/>
      <c r="G28" s="312" t="s">
        <v>25</v>
      </c>
      <c r="H28" s="312"/>
      <c r="I28" s="312"/>
      <c r="J28" s="312"/>
      <c r="K28" s="312"/>
      <c r="L28" s="312"/>
      <c r="M28" s="250">
        <f>SUM(M21:M27)</f>
        <v>0</v>
      </c>
      <c r="N28" s="251">
        <f>SUM(N21:N27)</f>
        <v>0</v>
      </c>
    </row>
    <row r="29" spans="2:20" ht="15" customHeight="1" x14ac:dyDescent="0.3">
      <c r="E29" s="20"/>
      <c r="F29" s="20"/>
      <c r="G29" s="20"/>
    </row>
    <row r="30" spans="2:20" ht="15" customHeight="1" x14ac:dyDescent="0.3">
      <c r="B30" s="126"/>
      <c r="C30" s="313" t="s">
        <v>354</v>
      </c>
      <c r="D30" s="202"/>
      <c r="E30" s="315" t="s">
        <v>5</v>
      </c>
      <c r="F30" s="202"/>
      <c r="G30" s="315" t="s">
        <v>6</v>
      </c>
      <c r="H30" s="152"/>
      <c r="I30" s="317" t="s">
        <v>26</v>
      </c>
      <c r="J30" s="317"/>
      <c r="K30" s="317"/>
      <c r="L30" s="152"/>
      <c r="M30" s="202" t="s">
        <v>27</v>
      </c>
      <c r="N30" s="63" t="s">
        <v>9</v>
      </c>
    </row>
    <row r="31" spans="2:20" ht="15" customHeight="1" x14ac:dyDescent="0.3">
      <c r="B31" s="153"/>
      <c r="C31" s="314"/>
      <c r="D31" s="201"/>
      <c r="E31" s="316"/>
      <c r="F31" s="201"/>
      <c r="G31" s="316"/>
      <c r="H31" s="26"/>
      <c r="I31" s="1" t="s">
        <v>28</v>
      </c>
      <c r="J31" s="1"/>
      <c r="K31" s="26"/>
      <c r="L31" s="201"/>
      <c r="M31" s="1" t="s">
        <v>14</v>
      </c>
      <c r="N31" s="154" t="s">
        <v>15</v>
      </c>
      <c r="Q31" s="2" t="s">
        <v>29</v>
      </c>
    </row>
    <row r="32" spans="2:20" ht="15" customHeight="1" x14ac:dyDescent="0.3">
      <c r="B32" s="155"/>
      <c r="C32" s="138" t="s">
        <v>30</v>
      </c>
      <c r="D32" s="138"/>
      <c r="E32" s="138" t="s">
        <v>17</v>
      </c>
      <c r="F32" s="138"/>
      <c r="G32" s="138"/>
      <c r="H32" s="137"/>
      <c r="I32" s="137"/>
      <c r="J32" s="137"/>
      <c r="K32" s="137"/>
      <c r="L32" s="137"/>
      <c r="M32" s="137"/>
      <c r="N32" s="157"/>
      <c r="Q32" s="1" t="s">
        <v>21</v>
      </c>
    </row>
    <row r="33" spans="2:20" ht="15" customHeight="1" x14ac:dyDescent="0.3">
      <c r="B33" s="155"/>
      <c r="C33" s="136" t="s">
        <v>22</v>
      </c>
      <c r="D33" s="137"/>
      <c r="E33" s="295"/>
      <c r="F33" s="138"/>
      <c r="G33" s="20" t="s">
        <v>31</v>
      </c>
      <c r="I33" s="230">
        <f>VLOOKUP($C33,'Calculation engine'!$Q$10:$T$19,2,FALSE)</f>
        <v>0</v>
      </c>
      <c r="J33" s="324" t="str">
        <f>IF(C33="Not purchased from the main grid","You can enter a custom factor for EF","")</f>
        <v/>
      </c>
      <c r="K33" s="324"/>
      <c r="L33" s="324"/>
      <c r="M33" s="248">
        <f>E33*I33/1000</f>
        <v>0</v>
      </c>
      <c r="N33" s="249">
        <f>E33*Q34</f>
        <v>0</v>
      </c>
      <c r="Q33" s="3"/>
    </row>
    <row r="34" spans="2:20" ht="15.75" customHeight="1" x14ac:dyDescent="0.3">
      <c r="B34" s="155"/>
      <c r="C34" s="136" t="s">
        <v>22</v>
      </c>
      <c r="D34" s="137"/>
      <c r="E34" s="296"/>
      <c r="F34" s="138"/>
      <c r="G34" s="20" t="s">
        <v>31</v>
      </c>
      <c r="I34" s="230">
        <f>VLOOKUP($C34,'Calculation engine'!$Q$10:$T$19,2,FALSE)</f>
        <v>0</v>
      </c>
      <c r="J34" s="323" t="str">
        <f>IF(C34="Not purchased from the main grid","You can enter a custom factor for EF","")</f>
        <v/>
      </c>
      <c r="K34" s="323"/>
      <c r="L34" s="323"/>
      <c r="M34" s="248">
        <f>E34*I34/1000</f>
        <v>0</v>
      </c>
      <c r="N34" s="249">
        <f>E34*Q35</f>
        <v>0</v>
      </c>
      <c r="Q34" s="4">
        <f>VLOOKUP($C33,'Calculation engine'!$Q$10:$T$19,3,FALSE)</f>
        <v>0</v>
      </c>
    </row>
    <row r="35" spans="2:20" ht="16.5" customHeight="1" x14ac:dyDescent="0.3">
      <c r="B35" s="158"/>
      <c r="C35" s="141"/>
      <c r="D35" s="141"/>
      <c r="E35" s="142"/>
      <c r="F35" s="142"/>
      <c r="G35" s="312" t="s">
        <v>32</v>
      </c>
      <c r="H35" s="312"/>
      <c r="I35" s="312"/>
      <c r="J35" s="312"/>
      <c r="K35" s="312"/>
      <c r="L35" s="312"/>
      <c r="M35" s="250">
        <f>SUM(M33:M34)</f>
        <v>0</v>
      </c>
      <c r="N35" s="251">
        <f>SUM(N33:N34)</f>
        <v>0</v>
      </c>
      <c r="Q35" s="4">
        <f>VLOOKUP($C34,'Calculation engine'!$Q$10:$T$19,3,FALSE)</f>
        <v>0</v>
      </c>
    </row>
    <row r="36" spans="2:20" ht="15" customHeight="1" x14ac:dyDescent="0.3">
      <c r="E36" s="20"/>
      <c r="F36" s="20"/>
      <c r="G36" s="160"/>
      <c r="H36" s="160"/>
      <c r="I36" s="160"/>
      <c r="J36" s="160"/>
      <c r="K36" s="160"/>
      <c r="L36" s="160"/>
      <c r="M36" s="24"/>
      <c r="N36" s="24"/>
    </row>
    <row r="37" spans="2:20" ht="15" customHeight="1" x14ac:dyDescent="0.3">
      <c r="B37" s="126"/>
      <c r="C37" s="313" t="s">
        <v>355</v>
      </c>
      <c r="D37" s="202"/>
      <c r="E37" s="315" t="s">
        <v>5</v>
      </c>
      <c r="F37" s="202"/>
      <c r="G37" s="315" t="s">
        <v>6</v>
      </c>
      <c r="H37" s="152"/>
      <c r="I37" s="317"/>
      <c r="J37" s="317"/>
      <c r="K37" s="317"/>
      <c r="L37" s="152"/>
      <c r="M37" s="202"/>
      <c r="N37" s="63" t="s">
        <v>9</v>
      </c>
    </row>
    <row r="38" spans="2:20" ht="15" customHeight="1" x14ac:dyDescent="0.3">
      <c r="B38" s="153"/>
      <c r="C38" s="314"/>
      <c r="D38" s="201"/>
      <c r="E38" s="316"/>
      <c r="F38" s="201"/>
      <c r="G38" s="316"/>
      <c r="H38" s="26"/>
      <c r="I38" s="1"/>
      <c r="J38" s="1"/>
      <c r="K38" s="26"/>
      <c r="L38" s="201"/>
      <c r="M38" s="1"/>
      <c r="N38" s="154" t="s">
        <v>15</v>
      </c>
    </row>
    <row r="39" spans="2:20" ht="15" customHeight="1" x14ac:dyDescent="0.3">
      <c r="B39" s="155"/>
      <c r="C39" s="138" t="s">
        <v>33</v>
      </c>
      <c r="D39" s="138"/>
      <c r="E39" s="138" t="s">
        <v>17</v>
      </c>
      <c r="F39" s="138"/>
      <c r="G39" s="138"/>
      <c r="H39" s="137"/>
      <c r="I39" s="137"/>
      <c r="J39" s="137"/>
      <c r="K39" s="137"/>
      <c r="L39" s="137"/>
      <c r="M39" s="137"/>
      <c r="N39" s="157"/>
      <c r="Q39" s="8" t="s">
        <v>18</v>
      </c>
      <c r="R39" s="8" t="s">
        <v>19</v>
      </c>
      <c r="S39" s="8" t="s">
        <v>20</v>
      </c>
      <c r="T39" s="8" t="s">
        <v>21</v>
      </c>
    </row>
    <row r="40" spans="2:20" ht="15" customHeight="1" x14ac:dyDescent="0.3">
      <c r="B40" s="155"/>
      <c r="C40" s="136" t="s">
        <v>22</v>
      </c>
      <c r="D40" s="137"/>
      <c r="E40" s="295"/>
      <c r="F40" s="138"/>
      <c r="G40" s="20" t="str">
        <f>VLOOKUP($C40,'Calculation engine'!$AD$8:$AI$84,6,FALSE)</f>
        <v>-</v>
      </c>
      <c r="I40" s="22"/>
      <c r="J40" s="22"/>
      <c r="K40" s="161"/>
      <c r="L40" s="22"/>
      <c r="M40" s="22">
        <f>E40*I40/1000</f>
        <v>0</v>
      </c>
      <c r="N40" s="249">
        <f>T40*E40</f>
        <v>0</v>
      </c>
      <c r="Q40" s="8"/>
      <c r="R40" s="8"/>
      <c r="S40" s="8"/>
      <c r="T40" s="8">
        <f>VLOOKUP($C40,'Calculation engine'!$AD$8:$AI$84,5,FALSE)</f>
        <v>0</v>
      </c>
    </row>
    <row r="41" spans="2:20" ht="15" customHeight="1" x14ac:dyDescent="0.3">
      <c r="B41" s="155"/>
      <c r="C41" s="136" t="s">
        <v>22</v>
      </c>
      <c r="D41" s="137"/>
      <c r="E41" s="297"/>
      <c r="F41" s="138"/>
      <c r="G41" s="20" t="str">
        <f>VLOOKUP($C41,'Calculation engine'!$AD$8:$AI$84,6,FALSE)</f>
        <v>-</v>
      </c>
      <c r="I41" s="22"/>
      <c r="J41" s="22"/>
      <c r="K41" s="161"/>
      <c r="L41" s="22"/>
      <c r="M41" s="22"/>
      <c r="N41" s="249">
        <f>T41*E41</f>
        <v>0</v>
      </c>
      <c r="Q41" s="8"/>
      <c r="R41" s="8"/>
      <c r="S41" s="8"/>
      <c r="T41" s="8">
        <f>VLOOKUP($C41,'Calculation engine'!$AD$8:$AI$84,5,FALSE)</f>
        <v>0</v>
      </c>
    </row>
    <row r="42" spans="2:20" ht="15" customHeight="1" x14ac:dyDescent="0.3">
      <c r="B42" s="155"/>
      <c r="C42" s="136" t="s">
        <v>22</v>
      </c>
      <c r="D42" s="137"/>
      <c r="E42" s="296"/>
      <c r="F42" s="138"/>
      <c r="G42" s="20" t="str">
        <f>VLOOKUP($C42,'Calculation engine'!$AD$8:$AI$84,6,FALSE)</f>
        <v>-</v>
      </c>
      <c r="I42" s="22"/>
      <c r="J42" s="322"/>
      <c r="K42" s="322"/>
      <c r="L42" s="22"/>
      <c r="M42" s="22">
        <f>E42*I42/1000</f>
        <v>0</v>
      </c>
      <c r="N42" s="249">
        <f>T42*E42</f>
        <v>0</v>
      </c>
      <c r="Q42" s="8"/>
      <c r="R42" s="8"/>
      <c r="S42" s="8"/>
      <c r="T42" s="8">
        <f>VLOOKUP($C42,'Calculation engine'!$AD$8:$AI$84,5,FALSE)</f>
        <v>0</v>
      </c>
    </row>
    <row r="43" spans="2:20" ht="15" customHeight="1" x14ac:dyDescent="0.3">
      <c r="B43" s="158"/>
      <c r="C43" s="141"/>
      <c r="D43" s="141"/>
      <c r="E43" s="142"/>
      <c r="F43" s="142"/>
      <c r="G43" s="312" t="s">
        <v>34</v>
      </c>
      <c r="H43" s="312"/>
      <c r="I43" s="312"/>
      <c r="J43" s="312"/>
      <c r="K43" s="312"/>
      <c r="L43" s="312"/>
      <c r="M43" s="162"/>
      <c r="N43" s="251">
        <f>SUM(N40:N42)</f>
        <v>0</v>
      </c>
    </row>
    <row r="44" spans="2:20" ht="15" customHeight="1" x14ac:dyDescent="0.3">
      <c r="E44" s="20"/>
      <c r="F44" s="20"/>
      <c r="G44" s="160"/>
      <c r="H44" s="160"/>
      <c r="I44" s="160"/>
      <c r="J44" s="160"/>
      <c r="K44" s="160"/>
      <c r="L44" s="160"/>
      <c r="M44" s="24"/>
      <c r="N44" s="24"/>
    </row>
    <row r="45" spans="2:20" ht="15" customHeight="1" x14ac:dyDescent="0.3">
      <c r="B45" s="126"/>
      <c r="C45" s="313" t="s">
        <v>356</v>
      </c>
      <c r="D45" s="202"/>
      <c r="E45" s="315" t="s">
        <v>5</v>
      </c>
      <c r="F45" s="202"/>
      <c r="G45" s="315" t="s">
        <v>6</v>
      </c>
      <c r="H45" s="152"/>
      <c r="I45" s="317"/>
      <c r="J45" s="317"/>
      <c r="K45" s="317"/>
      <c r="L45" s="152"/>
      <c r="M45" s="202"/>
      <c r="N45" s="63" t="s">
        <v>9</v>
      </c>
    </row>
    <row r="46" spans="2:20" ht="15" customHeight="1" x14ac:dyDescent="0.3">
      <c r="B46" s="153"/>
      <c r="C46" s="314"/>
      <c r="D46" s="201"/>
      <c r="E46" s="316"/>
      <c r="F46" s="201"/>
      <c r="G46" s="316"/>
      <c r="H46" s="26"/>
      <c r="I46" s="1"/>
      <c r="J46" s="1"/>
      <c r="K46" s="26"/>
      <c r="L46" s="201"/>
      <c r="M46" s="1"/>
      <c r="N46" s="154" t="s">
        <v>15</v>
      </c>
    </row>
    <row r="47" spans="2:20" ht="15" customHeight="1" x14ac:dyDescent="0.3">
      <c r="B47" s="155"/>
      <c r="C47" s="138" t="s">
        <v>35</v>
      </c>
      <c r="D47" s="138"/>
      <c r="E47" s="138" t="s">
        <v>17</v>
      </c>
      <c r="F47" s="138"/>
      <c r="G47" s="138"/>
      <c r="H47" s="137"/>
      <c r="I47" s="137"/>
      <c r="J47" s="137"/>
      <c r="K47" s="137"/>
      <c r="L47" s="137"/>
      <c r="M47" s="137"/>
      <c r="N47" s="157"/>
      <c r="Q47" s="8" t="s">
        <v>18</v>
      </c>
      <c r="R47" s="8" t="s">
        <v>19</v>
      </c>
      <c r="S47" s="8" t="s">
        <v>20</v>
      </c>
      <c r="T47" s="8" t="s">
        <v>21</v>
      </c>
    </row>
    <row r="48" spans="2:20" ht="15" customHeight="1" x14ac:dyDescent="0.3">
      <c r="B48" s="155"/>
      <c r="C48" s="136" t="s">
        <v>22</v>
      </c>
      <c r="D48" s="137"/>
      <c r="E48" s="295"/>
      <c r="F48" s="138"/>
      <c r="G48" s="20" t="str">
        <f>VLOOKUP($C48,'Calculation engine'!$W$8:$AB$78,6,FALSE)</f>
        <v>-</v>
      </c>
      <c r="I48" s="22"/>
      <c r="J48" s="22"/>
      <c r="K48" s="161"/>
      <c r="L48" s="22"/>
      <c r="M48" s="22">
        <f>E48*I48/1000</f>
        <v>0</v>
      </c>
      <c r="N48" s="249">
        <f>T48*E48</f>
        <v>0</v>
      </c>
      <c r="Q48" s="8"/>
      <c r="R48" s="8"/>
      <c r="S48" s="8"/>
      <c r="T48" s="8">
        <f>VLOOKUP($C48,'Calculation engine'!$W$8:$AB$78,5,FALSE)</f>
        <v>0</v>
      </c>
    </row>
    <row r="49" spans="2:20" ht="15" customHeight="1" x14ac:dyDescent="0.3">
      <c r="B49" s="155"/>
      <c r="C49" s="136" t="s">
        <v>22</v>
      </c>
      <c r="D49" s="137"/>
      <c r="E49" s="297"/>
      <c r="F49" s="138"/>
      <c r="G49" s="20" t="str">
        <f>VLOOKUP($C49,'Calculation engine'!$W$8:$AB$78,6,FALSE)</f>
        <v>-</v>
      </c>
      <c r="I49" s="22"/>
      <c r="J49" s="22"/>
      <c r="K49" s="161"/>
      <c r="L49" s="22"/>
      <c r="M49" s="22"/>
      <c r="N49" s="249">
        <f>T49*E49</f>
        <v>0</v>
      </c>
      <c r="Q49" s="8"/>
      <c r="R49" s="8"/>
      <c r="S49" s="8"/>
      <c r="T49" s="8">
        <f>VLOOKUP($C49,'Calculation engine'!$W$8:$AB$78,5,FALSE)</f>
        <v>0</v>
      </c>
    </row>
    <row r="50" spans="2:20" ht="15" customHeight="1" x14ac:dyDescent="0.3">
      <c r="B50" s="155"/>
      <c r="C50" s="136" t="s">
        <v>22</v>
      </c>
      <c r="D50" s="137"/>
      <c r="E50" s="296"/>
      <c r="F50" s="138"/>
      <c r="G50" s="20" t="str">
        <f>VLOOKUP($C50,'Calculation engine'!$W$8:$AB$78,6,FALSE)</f>
        <v>-</v>
      </c>
      <c r="I50" s="22"/>
      <c r="J50" s="322"/>
      <c r="K50" s="322"/>
      <c r="L50" s="22"/>
      <c r="M50" s="22">
        <f>E50*I50/1000</f>
        <v>0</v>
      </c>
      <c r="N50" s="249">
        <f>T50*E50</f>
        <v>0</v>
      </c>
      <c r="Q50" s="8"/>
      <c r="R50" s="8"/>
      <c r="S50" s="8"/>
      <c r="T50" s="8">
        <f>VLOOKUP($C50,'Calculation engine'!$W$8:$AB$78,5,FALSE)</f>
        <v>0</v>
      </c>
    </row>
    <row r="51" spans="2:20" ht="15" customHeight="1" x14ac:dyDescent="0.3">
      <c r="B51" s="158"/>
      <c r="C51" s="141"/>
      <c r="D51" s="141"/>
      <c r="E51" s="142"/>
      <c r="F51" s="142"/>
      <c r="G51" s="312" t="s">
        <v>36</v>
      </c>
      <c r="H51" s="312"/>
      <c r="I51" s="312"/>
      <c r="J51" s="312"/>
      <c r="K51" s="312"/>
      <c r="L51" s="312"/>
      <c r="M51" s="162"/>
      <c r="N51" s="251">
        <f>SUM(N48:N50)</f>
        <v>0</v>
      </c>
    </row>
    <row r="52" spans="2:20" ht="15" customHeight="1" x14ac:dyDescent="0.3">
      <c r="E52" s="20"/>
      <c r="F52" s="20"/>
      <c r="G52" s="160"/>
      <c r="H52" s="160"/>
      <c r="I52" s="160"/>
      <c r="J52" s="160"/>
      <c r="K52" s="160"/>
      <c r="L52" s="160"/>
      <c r="M52" s="24"/>
      <c r="N52" s="197"/>
    </row>
    <row r="53" spans="2:20" ht="15" customHeight="1" x14ac:dyDescent="0.35">
      <c r="B53" s="126"/>
      <c r="C53" s="313" t="s">
        <v>357</v>
      </c>
      <c r="D53" s="202"/>
      <c r="E53" s="315"/>
      <c r="F53" s="202"/>
      <c r="G53" s="315"/>
      <c r="H53" s="152"/>
      <c r="I53" s="317" t="s">
        <v>37</v>
      </c>
      <c r="J53" s="317"/>
      <c r="K53" s="317"/>
      <c r="L53" s="152"/>
      <c r="M53" s="202" t="s">
        <v>8</v>
      </c>
      <c r="N53" s="63"/>
    </row>
    <row r="54" spans="2:20" ht="15" customHeight="1" x14ac:dyDescent="0.3">
      <c r="B54" s="153"/>
      <c r="C54" s="314"/>
      <c r="D54" s="201"/>
      <c r="E54" s="316"/>
      <c r="F54" s="201"/>
      <c r="G54" s="316"/>
      <c r="H54" s="26"/>
      <c r="I54" s="1" t="s">
        <v>11</v>
      </c>
      <c r="J54" s="1" t="s">
        <v>12</v>
      </c>
      <c r="K54" s="1" t="s">
        <v>13</v>
      </c>
      <c r="L54" s="201"/>
      <c r="M54" s="1" t="s">
        <v>14</v>
      </c>
      <c r="N54" s="154"/>
    </row>
    <row r="55" spans="2:20" ht="15" customHeight="1" x14ac:dyDescent="0.3">
      <c r="B55" s="155"/>
      <c r="C55" s="138" t="s">
        <v>38</v>
      </c>
      <c r="D55" s="138"/>
      <c r="E55" s="138"/>
      <c r="F55" s="138"/>
      <c r="G55" s="138"/>
      <c r="H55" s="137"/>
      <c r="I55" s="137"/>
      <c r="J55" s="137"/>
      <c r="K55" s="137"/>
      <c r="L55" s="137"/>
      <c r="M55" s="198"/>
      <c r="N55" s="157"/>
      <c r="Q55" s="2">
        <v>0</v>
      </c>
    </row>
    <row r="56" spans="2:20" s="9" customFormat="1" ht="15" customHeight="1" x14ac:dyDescent="0.3">
      <c r="B56" s="155"/>
      <c r="C56" s="159"/>
      <c r="D56" s="137"/>
      <c r="E56" s="217"/>
      <c r="F56" s="138"/>
      <c r="G56" s="138"/>
      <c r="H56" s="156"/>
      <c r="I56" s="199">
        <v>0</v>
      </c>
      <c r="J56" s="199">
        <v>0</v>
      </c>
      <c r="K56" s="199">
        <v>0</v>
      </c>
      <c r="L56" s="203"/>
      <c r="M56" s="248">
        <f>SUM(I56:K56)</f>
        <v>0</v>
      </c>
      <c r="N56" s="140"/>
      <c r="Q56" s="9">
        <v>25000</v>
      </c>
    </row>
    <row r="57" spans="2:20" s="9" customFormat="1" ht="15" customHeight="1" x14ac:dyDescent="0.3">
      <c r="B57" s="155"/>
      <c r="C57" s="159"/>
      <c r="D57" s="137"/>
      <c r="E57" s="217"/>
      <c r="F57" s="138"/>
      <c r="G57" s="138"/>
      <c r="H57" s="156"/>
      <c r="I57" s="199">
        <v>0</v>
      </c>
      <c r="J57" s="199">
        <v>0</v>
      </c>
      <c r="K57" s="199">
        <v>0</v>
      </c>
      <c r="L57" s="203"/>
      <c r="M57" s="248">
        <f>SUM(I57:K57)</f>
        <v>0</v>
      </c>
      <c r="N57" s="140"/>
    </row>
    <row r="58" spans="2:20" s="9" customFormat="1" ht="15" customHeight="1" x14ac:dyDescent="0.3">
      <c r="B58" s="158"/>
      <c r="C58" s="141"/>
      <c r="D58" s="141"/>
      <c r="E58" s="142"/>
      <c r="F58" s="142"/>
      <c r="G58" s="312" t="s">
        <v>39</v>
      </c>
      <c r="H58" s="312"/>
      <c r="I58" s="312"/>
      <c r="J58" s="312"/>
      <c r="K58" s="312"/>
      <c r="L58" s="312"/>
      <c r="M58" s="250">
        <f>SUM(M56:M57)</f>
        <v>0</v>
      </c>
      <c r="N58" s="143"/>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6"/>
      <c r="C60" s="325" t="s">
        <v>358</v>
      </c>
      <c r="D60" s="327" t="s">
        <v>40</v>
      </c>
      <c r="E60" s="327"/>
      <c r="F60" s="327"/>
      <c r="G60" s="327"/>
      <c r="H60" s="163"/>
      <c r="I60" s="163"/>
      <c r="J60" s="164"/>
      <c r="K60" s="164"/>
      <c r="L60" s="327" t="s">
        <v>41</v>
      </c>
      <c r="M60" s="327"/>
      <c r="N60" s="165"/>
    </row>
    <row r="61" spans="2:20" s="9" customFormat="1" ht="15" customHeight="1" x14ac:dyDescent="0.3">
      <c r="B61" s="144"/>
      <c r="C61" s="314"/>
      <c r="D61" s="316"/>
      <c r="E61" s="316"/>
      <c r="F61" s="316"/>
      <c r="G61" s="316"/>
      <c r="H61" s="26"/>
      <c r="I61" s="1"/>
      <c r="J61" s="166"/>
      <c r="K61" s="166"/>
      <c r="L61" s="316"/>
      <c r="M61" s="316"/>
      <c r="N61" s="167"/>
    </row>
    <row r="62" spans="2:20" s="9" customFormat="1" ht="15" customHeight="1" x14ac:dyDescent="0.3">
      <c r="B62" s="144"/>
      <c r="C62" s="65" t="s">
        <v>42</v>
      </c>
      <c r="D62" s="331">
        <f>M16+M28+M58</f>
        <v>0</v>
      </c>
      <c r="E62" s="331"/>
      <c r="F62" s="20"/>
      <c r="G62" s="9" t="s">
        <v>43</v>
      </c>
      <c r="L62" s="247">
        <f>IFERROR((D62/'Facility 5'!$N$4)*Output!$N$2,0)</f>
        <v>0</v>
      </c>
      <c r="M62" s="190" t="s">
        <v>43</v>
      </c>
      <c r="N62" s="145"/>
    </row>
    <row r="63" spans="2:20" s="9" customFormat="1" ht="15" customHeight="1" x14ac:dyDescent="0.3">
      <c r="B63" s="146"/>
      <c r="C63" s="65" t="s">
        <v>44</v>
      </c>
      <c r="D63" s="331">
        <f>M35</f>
        <v>0</v>
      </c>
      <c r="E63" s="331"/>
      <c r="F63" s="20"/>
      <c r="G63" s="9" t="s">
        <v>43</v>
      </c>
      <c r="L63" s="247">
        <f>IFERROR((D63/'Facility 5'!$N$4)*Output!$N$2,0)</f>
        <v>0</v>
      </c>
      <c r="M63" s="190" t="s">
        <v>43</v>
      </c>
      <c r="N63" s="49"/>
    </row>
    <row r="64" spans="2:20" ht="15" customHeight="1" x14ac:dyDescent="0.3">
      <c r="B64" s="146"/>
      <c r="C64" s="14" t="s">
        <v>45</v>
      </c>
      <c r="D64" s="337">
        <f>D62+D63</f>
        <v>0</v>
      </c>
      <c r="E64" s="338"/>
      <c r="F64" s="20"/>
      <c r="G64" s="191" t="s">
        <v>46</v>
      </c>
      <c r="H64" s="191"/>
      <c r="I64" s="9"/>
      <c r="J64" s="9"/>
      <c r="K64" s="9"/>
      <c r="L64" s="252">
        <f>IFERROR((D64/'Facility 5'!$N$4)*Output!$N$2,0)</f>
        <v>0</v>
      </c>
      <c r="M64" s="192" t="s">
        <v>46</v>
      </c>
      <c r="N64" s="211"/>
    </row>
    <row r="65" spans="2:14" ht="15" customHeight="1" x14ac:dyDescent="0.3">
      <c r="B65" s="146"/>
      <c r="C65" s="15" t="s">
        <v>47</v>
      </c>
      <c r="D65" s="339">
        <f>N16+N28+N35+N43</f>
        <v>0</v>
      </c>
      <c r="E65" s="340"/>
      <c r="F65" s="193"/>
      <c r="G65" s="51" t="s">
        <v>48</v>
      </c>
      <c r="H65" s="51"/>
      <c r="I65" s="194"/>
      <c r="J65" s="194"/>
      <c r="K65" s="194"/>
      <c r="L65" s="252">
        <f>IFERROR((D65/'Facility 5'!$N$4)*Output!$N$2,0)</f>
        <v>0</v>
      </c>
      <c r="M65" s="85" t="s">
        <v>48</v>
      </c>
      <c r="N65" s="55"/>
    </row>
    <row r="66" spans="2:14" ht="15" customHeight="1" x14ac:dyDescent="0.3">
      <c r="B66" s="147"/>
      <c r="C66" s="17" t="s">
        <v>49</v>
      </c>
      <c r="D66" s="341">
        <f>N51</f>
        <v>0</v>
      </c>
      <c r="E66" s="342"/>
      <c r="F66" s="195"/>
      <c r="G66" s="57" t="s">
        <v>48</v>
      </c>
      <c r="H66" s="57"/>
      <c r="I66" s="196"/>
      <c r="J66" s="196"/>
      <c r="K66" s="196"/>
      <c r="L66" s="253">
        <f>IFERROR((D66/'Facility 5'!$N$4)*Output!$N$2,0)</f>
        <v>0</v>
      </c>
      <c r="M66" s="86"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48"/>
      <c r="C68" s="325" t="s">
        <v>359</v>
      </c>
      <c r="D68" s="325"/>
      <c r="E68" s="325"/>
      <c r="F68" s="325"/>
      <c r="G68" s="325"/>
      <c r="H68" s="325"/>
      <c r="I68" s="325"/>
      <c r="J68" s="325"/>
      <c r="K68" s="325"/>
      <c r="L68" s="325"/>
      <c r="M68" s="325"/>
      <c r="N68" s="329"/>
    </row>
    <row r="69" spans="2:14" ht="15" customHeight="1" x14ac:dyDescent="0.3">
      <c r="B69" s="18"/>
      <c r="C69" s="314"/>
      <c r="D69" s="314"/>
      <c r="E69" s="314"/>
      <c r="F69" s="314"/>
      <c r="G69" s="314"/>
      <c r="H69" s="314"/>
      <c r="I69" s="314"/>
      <c r="J69" s="314"/>
      <c r="K69" s="314"/>
      <c r="L69" s="314"/>
      <c r="M69" s="314"/>
      <c r="N69" s="330"/>
    </row>
    <row r="70" spans="2:14" ht="15" customHeight="1" x14ac:dyDescent="0.3">
      <c r="B70" s="19"/>
      <c r="C70" s="326" t="s">
        <v>50</v>
      </c>
      <c r="D70" s="30"/>
      <c r="E70" s="31" t="s">
        <v>51</v>
      </c>
      <c r="F70" s="336" t="str">
        <f>IF(L64&gt;=25000,"You may have triggered the emissions reporting threshold for this facility. Please contact the Clean Energy Regulator",IF(L64&gt;21000, "You are close to the emissions reporting threshold for this facility. Please contact the Clean Energy Regulator",""))</f>
        <v/>
      </c>
      <c r="G70" s="336"/>
      <c r="H70" s="336"/>
      <c r="I70" s="336"/>
      <c r="J70" s="336"/>
      <c r="K70" s="336"/>
      <c r="L70" s="336"/>
      <c r="M70" s="336"/>
      <c r="N70" s="32" t="s">
        <v>52</v>
      </c>
    </row>
    <row r="71" spans="2:14" ht="15" customHeight="1" x14ac:dyDescent="0.35">
      <c r="B71" s="144"/>
      <c r="C71" s="326"/>
      <c r="D71" s="33"/>
      <c r="E71" s="332">
        <f>L64</f>
        <v>0</v>
      </c>
      <c r="F71" s="332"/>
      <c r="G71" s="332"/>
      <c r="H71" s="332"/>
      <c r="I71" s="332"/>
      <c r="J71" s="332"/>
      <c r="K71" s="332"/>
      <c r="L71" s="332"/>
      <c r="M71" s="332"/>
      <c r="N71" s="333"/>
    </row>
    <row r="72" spans="2:14" ht="15" customHeight="1" x14ac:dyDescent="0.35">
      <c r="B72" s="144"/>
      <c r="C72" s="326" t="s">
        <v>53</v>
      </c>
      <c r="D72" s="33"/>
      <c r="E72" s="34" t="s">
        <v>54</v>
      </c>
      <c r="F72" s="343" t="str">
        <f>IF(L65&gt;=100000,"You may have triggered the energy reporting threshold for this facility. Please contact the Clean Energy Regulator",IF(L65&gt;90000, "You are close to the energy reporting threshold for this facility. Please contact the Clean Energy Regulator",""))</f>
        <v/>
      </c>
      <c r="G72" s="343"/>
      <c r="H72" s="343"/>
      <c r="I72" s="343"/>
      <c r="J72" s="343"/>
      <c r="K72" s="343"/>
      <c r="L72" s="343"/>
      <c r="M72" s="343"/>
      <c r="N72" s="35" t="s">
        <v>55</v>
      </c>
    </row>
    <row r="73" spans="2:14" ht="17.55" customHeight="1" x14ac:dyDescent="0.3">
      <c r="B73" s="144"/>
      <c r="C73" s="326"/>
      <c r="E73" s="332">
        <f>L65</f>
        <v>0</v>
      </c>
      <c r="F73" s="332"/>
      <c r="G73" s="332"/>
      <c r="H73" s="332"/>
      <c r="I73" s="332"/>
      <c r="J73" s="332"/>
      <c r="K73" s="332"/>
      <c r="L73" s="332"/>
      <c r="M73" s="332"/>
      <c r="N73" s="333"/>
    </row>
    <row r="74" spans="2:14" ht="17.55" customHeight="1" x14ac:dyDescent="0.3">
      <c r="B74" s="144"/>
      <c r="C74" s="326" t="s">
        <v>56</v>
      </c>
      <c r="E74" s="34" t="s">
        <v>54</v>
      </c>
      <c r="F74" s="343" t="str">
        <f>IF(L66&gt;=100000,"You may have triggered the energy reporting threshold for this facility. Please contact the Clean Energy Regulator",IF(L66&gt;90000, "You are close to the energy reporting threshold for this facility. Please contact the Clean Energy Regulator",""))</f>
        <v/>
      </c>
      <c r="G74" s="343"/>
      <c r="H74" s="343"/>
      <c r="I74" s="343"/>
      <c r="J74" s="343"/>
      <c r="K74" s="343"/>
      <c r="L74" s="343"/>
      <c r="M74" s="343"/>
      <c r="N74" s="35" t="s">
        <v>55</v>
      </c>
    </row>
    <row r="75" spans="2:14" ht="17.55" customHeight="1" x14ac:dyDescent="0.3">
      <c r="B75" s="149"/>
      <c r="C75" s="328"/>
      <c r="D75" s="150"/>
      <c r="E75" s="334">
        <f>L66</f>
        <v>0</v>
      </c>
      <c r="F75" s="334"/>
      <c r="G75" s="334"/>
      <c r="H75" s="334"/>
      <c r="I75" s="334"/>
      <c r="J75" s="334"/>
      <c r="K75" s="334"/>
      <c r="L75" s="334"/>
      <c r="M75" s="334"/>
      <c r="N75" s="335"/>
    </row>
    <row r="76" spans="2:14" ht="17.55" hidden="1" customHeight="1" x14ac:dyDescent="0.3"/>
    <row r="77" spans="2:14" ht="17.55" hidden="1" customHeight="1" x14ac:dyDescent="0.3"/>
    <row r="78" spans="2:14" ht="17.55" hidden="1" customHeight="1" x14ac:dyDescent="0.3"/>
    <row r="79" spans="2:14" ht="17.55" hidden="1" customHeight="1" x14ac:dyDescent="0.3"/>
    <row r="80" spans="2:14" ht="17.55" hidden="1" customHeight="1" x14ac:dyDescent="0.3"/>
    <row r="81" ht="17.55" hidden="1" customHeight="1" x14ac:dyDescent="0.3"/>
    <row r="82" ht="17.55" hidden="1" customHeight="1" x14ac:dyDescent="0.3"/>
    <row r="83" ht="17.55" hidden="1" customHeight="1" x14ac:dyDescent="0.3"/>
    <row r="84" ht="17.55" hidden="1" customHeight="1" x14ac:dyDescent="0.3"/>
    <row r="85" ht="17.55" hidden="1" customHeight="1" x14ac:dyDescent="0.3"/>
    <row r="86" ht="17.55" hidden="1" customHeight="1" x14ac:dyDescent="0.3"/>
    <row r="87" ht="17.55" hidden="1" customHeight="1" x14ac:dyDescent="0.3"/>
    <row r="88" ht="17.55" hidden="1" customHeight="1" x14ac:dyDescent="0.3"/>
    <row r="89" ht="17.55" hidden="1" customHeight="1" x14ac:dyDescent="0.3"/>
    <row r="90" ht="17.55" hidden="1" customHeight="1" x14ac:dyDescent="0.3"/>
    <row r="91" ht="17.55" hidden="1" customHeight="1" x14ac:dyDescent="0.3"/>
    <row r="92" ht="17.55" hidden="1" customHeight="1" x14ac:dyDescent="0.3"/>
    <row r="93" ht="17.55" hidden="1" customHeight="1" x14ac:dyDescent="0.3"/>
    <row r="94" ht="17.55" hidden="1" customHeight="1" x14ac:dyDescent="0.3"/>
    <row r="95" ht="17.55" hidden="1" customHeight="1" x14ac:dyDescent="0.3"/>
    <row r="96" ht="17.55" hidden="1" customHeight="1" x14ac:dyDescent="0.3"/>
    <row r="97" ht="17.55" hidden="1" customHeight="1" x14ac:dyDescent="0.3"/>
    <row r="98" ht="17.55" hidden="1" customHeight="1" x14ac:dyDescent="0.3"/>
  </sheetData>
  <sheetProtection algorithmName="SHA-256" hashValue="F5pdqxA8TV1q6/mNUzQ/roh6mj53Rs+IrhX6ps7YqXY=" saltValue="n0IPBYdUCf65yOuzOlYjHA=="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{C62DC64A-CB3E-4E20-85CA-32494B434C56}</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{DACD0CF4-A6FC-4F38-ADDB-A194EE777B14}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{C3EF9E0F-2182-4BC3-9E57-FEEF1DCF91AC}</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{17D29E69-9E40-47CF-BFA8-CEDC39F36EE7}</x14:id>
        </ext>
      </extLst>
    </cfRule>
  </conditionalFormatting>
  <conditionalFormatting sqref="G21:N27">
    <cfRule type="cellIs" dxfId="40" priority="7" operator="equal">
      <formula>0</formula>
    </cfRule>
  </conditionalFormatting>
  <conditionalFormatting sqref="H40:N42">
    <cfRule type="cellIs" dxfId="39" priority="6" operator="equal">
      <formula>0</formula>
    </cfRule>
  </conditionalFormatting>
  <conditionalFormatting sqref="H48:N50">
    <cfRule type="cellIs" dxfId="38" priority="5" operator="equal">
      <formula>0</formula>
    </cfRule>
  </conditionalFormatting>
  <conditionalFormatting sqref="I33:I34 I41">
    <cfRule type="cellIs" dxfId="37" priority="17" operator="equal">
      <formula>0.64</formula>
    </cfRule>
  </conditionalFormatting>
  <conditionalFormatting sqref="I33:J34 M33:N34 I41:M41 C65">
    <cfRule type="cellIs" dxfId="36" priority="16" operator="equal">
      <formula>0</formula>
    </cfRule>
  </conditionalFormatting>
  <conditionalFormatting sqref="I49:M49">
    <cfRule type="aboveAverage" dxfId="35" priority="14"/>
  </conditionalFormatting>
  <conditionalFormatting sqref="I9:N15">
    <cfRule type="cellIs" dxfId="34" priority="11" operator="equal">
      <formula>0</formula>
    </cfRule>
  </conditionalFormatting>
  <conditionalFormatting sqref="I40:N40 N41:N42 J42 L42:M42">
    <cfRule type="cellIs" dxfId="33" priority="15" operator="equal">
      <formula>0</formula>
    </cfRule>
  </conditionalFormatting>
  <conditionalFormatting sqref="I48:N48 N49:N50 J50 L50:M50">
    <cfRule type="cellIs" dxfId="32" priority="13" operator="equal">
      <formula>0</formula>
    </cfRule>
  </conditionalFormatting>
  <conditionalFormatting sqref="L57 N57">
    <cfRule type="cellIs" dxfId="31"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{EC4C8A97-98F1-49FD-8F72-F7B17B7B9AA7}</x14:id>
        </ext>
      </extLst>
    </cfRule>
  </conditionalFormatting>
  <conditionalFormatting sqref="N4">
    <cfRule type="expression" dxfId="30" priority="3">
      <formula>M4="No specific period"</formula>
    </cfRule>
    <cfRule type="cellIs" dxfId="29" priority="4" operator="equal">
      <formula>"# of days?"</formula>
    </cfRule>
  </conditionalFormatting>
  <dataValidations count="1">
    <dataValidation type="list" allowBlank="1" showInputMessage="1" showErrorMessage="1" sqref="M4" xr:uid="{00000000-0002-0000-05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C62DC64A-CB3E-4E20-85CA-32494B434C56}">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DACD0CF4-A6FC-4F38-ADDB-A194EE777B1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3EF9E0F-2182-4BC3-9E57-FEEF1DCF91AC}">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17D29E69-9E40-47CF-BFA8-CEDC39F36EE7}">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EC4C8A97-98F1-49FD-8F72-F7B17B7B9AA7}">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3000000}">
          <x14:formula1>
            <xm:f>'Calculation engine'!$Q$10:$Q$19</xm:f>
          </x14:formula1>
          <xm:sqref>C33:C34</xm:sqref>
        </x14:dataValidation>
        <x14:dataValidation type="list" allowBlank="1" showInputMessage="1" showErrorMessage="1" xr:uid="{00000000-0002-0000-0500-000001000000}">
          <x14:formula1>
            <xm:f>'Calculation engine'!$B$8:$B$35</xm:f>
          </x14:formula1>
          <xm:sqref>C9:C15</xm:sqref>
        </x14:dataValidation>
        <x14:dataValidation type="list" allowBlank="1" showInputMessage="1" showErrorMessage="1" xr:uid="{00000000-0002-0000-0500-000002000000}">
          <x14:formula1>
            <xm:f>'Calculation engine'!$I$8:$I$68</xm:f>
          </x14:formula1>
          <xm:sqref>C21:C27</xm:sqref>
        </x14:dataValidation>
        <x14:dataValidation type="list" allowBlank="1" showInputMessage="1" showErrorMessage="1" xr:uid="{00000000-0002-0000-0500-000005000000}">
          <x14:formula1>
            <xm:f>'Calculation engine'!$W$8:$W$78</xm:f>
          </x14:formula1>
          <xm:sqref>C48:C50</xm:sqref>
        </x14:dataValidation>
        <x14:dataValidation type="list" allowBlank="1" showInputMessage="1" showErrorMessage="1" xr:uid="{00000000-0002-0000-0500-000004000000}">
          <x14:formula1>
            <xm:f>'Calculation engine'!$AD$8:$AD$84</xm:f>
          </x14:formula1>
          <xm:sqref>C40:C42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98"/>
  <sheetViews>
    <sheetView showRowColHeaders="0" zoomScaleNormal="100" workbookViewId="0">
      <selection activeCell="E4" sqref="E4:H4"/>
    </sheetView>
  </sheetViews>
  <sheetFormatPr defaultColWidth="0" defaultRowHeight="15" customHeight="1" zeroHeight="1" x14ac:dyDescent="0.3"/>
  <cols>
    <col min="1" max="2" width="4" style="2" customWidth="1"/>
    <col min="3" max="3" width="67.5546875" style="2" customWidth="1"/>
    <col min="4" max="4" width="3.44140625" style="2" customWidth="1"/>
    <col min="5" max="5" width="19.5546875" style="2" customWidth="1"/>
    <col min="6" max="6" width="3.5546875" style="2" customWidth="1"/>
    <col min="7" max="8" width="9.21875" style="2" customWidth="1"/>
    <col min="9" max="9" width="13.5546875" style="2" customWidth="1"/>
    <col min="10" max="10" width="12.21875" style="2" customWidth="1"/>
    <col min="11" max="11" width="11.77734375" style="2" customWidth="1"/>
    <col min="12" max="12" width="22.5546875" style="2" customWidth="1"/>
    <col min="13" max="13" width="23.77734375" style="2" customWidth="1"/>
    <col min="14" max="14" width="23.44140625" style="2" customWidth="1"/>
    <col min="15" max="15" width="4.5546875" style="2" hidden="1" customWidth="1"/>
    <col min="16" max="20" width="0" style="2" hidden="1" customWidth="1"/>
    <col min="21" max="16384" width="9.21875" style="2" hidden="1"/>
  </cols>
  <sheetData>
    <row r="1" spans="2:20" ht="203.25" customHeight="1" x14ac:dyDescent="0.3"/>
    <row r="2" spans="2:20" ht="33" customHeight="1" x14ac:dyDescent="0.3">
      <c r="B2" s="181"/>
      <c r="C2" s="311" t="s">
        <v>351</v>
      </c>
      <c r="D2" s="311"/>
      <c r="E2" s="311"/>
      <c r="F2" s="311"/>
      <c r="G2" s="311"/>
      <c r="H2" s="311"/>
      <c r="I2" s="311"/>
      <c r="J2" s="311"/>
      <c r="K2" s="311"/>
      <c r="L2" s="311"/>
      <c r="M2" s="311"/>
      <c r="N2" s="311"/>
    </row>
    <row r="3" spans="2:20" ht="15" customHeight="1" x14ac:dyDescent="0.3">
      <c r="B3" s="151"/>
      <c r="C3" s="151"/>
      <c r="D3" s="151"/>
      <c r="E3" s="151"/>
      <c r="F3" s="151"/>
      <c r="G3" s="151"/>
      <c r="H3" s="151"/>
      <c r="I3" s="151"/>
      <c r="J3" s="151"/>
      <c r="K3" s="151"/>
      <c r="L3" s="151"/>
      <c r="M3" s="151"/>
      <c r="N3" s="20" t="str">
        <f>IF(M4="Part year","Enter days below","")</f>
        <v/>
      </c>
      <c r="Q3" s="2" t="s">
        <v>1</v>
      </c>
    </row>
    <row r="4" spans="2:20" ht="15" customHeight="1" x14ac:dyDescent="0.3">
      <c r="B4" s="181"/>
      <c r="C4" s="201" t="s">
        <v>2</v>
      </c>
      <c r="D4" s="151"/>
      <c r="E4" s="318"/>
      <c r="F4" s="319"/>
      <c r="G4" s="319"/>
      <c r="H4" s="320"/>
      <c r="I4" s="151"/>
      <c r="J4" s="316" t="s">
        <v>3</v>
      </c>
      <c r="K4" s="321"/>
      <c r="L4" s="321"/>
      <c r="M4" s="66" t="s">
        <v>1</v>
      </c>
      <c r="N4" s="66">
        <f>IF(M4="Full year",365,"")</f>
        <v>365</v>
      </c>
      <c r="Q4" s="2" t="s">
        <v>4</v>
      </c>
    </row>
    <row r="5" spans="2:20" ht="14.4" x14ac:dyDescent="0.3"/>
    <row r="6" spans="2:20" ht="15" customHeight="1" x14ac:dyDescent="0.3">
      <c r="B6" s="126"/>
      <c r="C6" s="313" t="s">
        <v>352</v>
      </c>
      <c r="D6" s="202"/>
      <c r="E6" s="315" t="s">
        <v>5</v>
      </c>
      <c r="F6" s="202"/>
      <c r="G6" s="315" t="s">
        <v>6</v>
      </c>
      <c r="H6" s="152"/>
      <c r="I6" s="317" t="s">
        <v>7</v>
      </c>
      <c r="J6" s="317"/>
      <c r="K6" s="317"/>
      <c r="L6" s="152"/>
      <c r="M6" s="202" t="s">
        <v>8</v>
      </c>
      <c r="N6" s="63" t="s">
        <v>9</v>
      </c>
      <c r="Q6" s="2" t="s">
        <v>10</v>
      </c>
    </row>
    <row r="7" spans="2:20" ht="14.25" customHeight="1" x14ac:dyDescent="0.3">
      <c r="B7" s="153"/>
      <c r="C7" s="314"/>
      <c r="D7" s="201"/>
      <c r="E7" s="316"/>
      <c r="F7" s="201"/>
      <c r="G7" s="316"/>
      <c r="H7" s="26"/>
      <c r="I7" s="1" t="s">
        <v>11</v>
      </c>
      <c r="J7" s="1" t="s">
        <v>12</v>
      </c>
      <c r="K7" s="1" t="s">
        <v>13</v>
      </c>
      <c r="L7" s="201"/>
      <c r="M7" s="1" t="s">
        <v>14</v>
      </c>
      <c r="N7" s="154" t="s">
        <v>15</v>
      </c>
    </row>
    <row r="8" spans="2:20" ht="14.4" x14ac:dyDescent="0.3">
      <c r="B8" s="155"/>
      <c r="C8" s="138" t="s">
        <v>16</v>
      </c>
      <c r="D8" s="138"/>
      <c r="E8" s="138" t="s">
        <v>17</v>
      </c>
      <c r="F8" s="138"/>
      <c r="G8" s="138"/>
      <c r="H8" s="137"/>
      <c r="I8" s="137"/>
      <c r="J8" s="137"/>
      <c r="K8" s="137"/>
      <c r="L8" s="137"/>
      <c r="M8" s="137"/>
      <c r="N8" s="157"/>
      <c r="Q8" s="8" t="s">
        <v>18</v>
      </c>
      <c r="R8" s="8" t="s">
        <v>19</v>
      </c>
      <c r="S8" s="8" t="s">
        <v>20</v>
      </c>
      <c r="T8" s="8" t="s">
        <v>21</v>
      </c>
    </row>
    <row r="9" spans="2:20" ht="15" customHeight="1" x14ac:dyDescent="0.3">
      <c r="B9" s="155"/>
      <c r="C9" s="136" t="s">
        <v>22</v>
      </c>
      <c r="D9" s="137"/>
      <c r="E9" s="295"/>
      <c r="F9" s="138"/>
      <c r="G9" s="20" t="str">
        <f>VLOOKUP($C9,'Calculation engine'!$B$8:$G$35,6,FALSE)</f>
        <v>-</v>
      </c>
      <c r="H9" s="139"/>
      <c r="I9" s="248">
        <f>Q9*$N9/1000</f>
        <v>0</v>
      </c>
      <c r="J9" s="248">
        <f>R9*$N9/1000</f>
        <v>0</v>
      </c>
      <c r="K9" s="248">
        <f>S9*$N9/1000</f>
        <v>0</v>
      </c>
      <c r="L9" s="203"/>
      <c r="M9" s="248">
        <f>SUM(I9:K9)</f>
        <v>0</v>
      </c>
      <c r="N9" s="249">
        <f>T9*E9</f>
        <v>0</v>
      </c>
      <c r="Q9" s="8">
        <f>VLOOKUP($C9,'Calculation engine'!$B$8:$G$35,3,FALSE)</f>
        <v>0</v>
      </c>
      <c r="R9" s="8">
        <f>VLOOKUP($C9,'Calculation engine'!$B$8:$G$35,4,FALSE)</f>
        <v>0</v>
      </c>
      <c r="S9" s="8">
        <f>VLOOKUP($C9,'Calculation engine'!$B$8:$G$35,5,FALSE)</f>
        <v>0</v>
      </c>
      <c r="T9" s="8">
        <f>VLOOKUP($C9,'Calculation engine'!$B$8:$G$35,2,FALSE)</f>
        <v>0</v>
      </c>
    </row>
    <row r="10" spans="2:20" ht="15" customHeight="1" x14ac:dyDescent="0.3">
      <c r="B10" s="155"/>
      <c r="C10" s="136" t="s">
        <v>22</v>
      </c>
      <c r="D10" s="137"/>
      <c r="E10" s="306"/>
      <c r="F10" s="138"/>
      <c r="G10" s="20" t="str">
        <f>VLOOKUP($C10,'Calculation engine'!$B$8:$G$35,6,FALSE)</f>
        <v>-</v>
      </c>
      <c r="H10" s="139"/>
      <c r="I10" s="248">
        <f t="shared" ref="I10:K15" si="0">Q10*$N10/1000</f>
        <v>0</v>
      </c>
      <c r="J10" s="248">
        <f t="shared" si="0"/>
        <v>0</v>
      </c>
      <c r="K10" s="248">
        <f t="shared" si="0"/>
        <v>0</v>
      </c>
      <c r="L10" s="203"/>
      <c r="M10" s="248">
        <f t="shared" ref="M10:M15" si="1">SUM(I10:K10)</f>
        <v>0</v>
      </c>
      <c r="N10" s="249">
        <f t="shared" ref="N10:N15" si="2">T10*E10</f>
        <v>0</v>
      </c>
      <c r="Q10" s="8">
        <f>VLOOKUP($C10,'Calculation engine'!$B$8:$G$35,3,FALSE)</f>
        <v>0</v>
      </c>
      <c r="R10" s="8">
        <f>VLOOKUP($C10,'Calculation engine'!$B$8:$G$35,4,FALSE)</f>
        <v>0</v>
      </c>
      <c r="S10" s="8">
        <f>VLOOKUP($C10,'Calculation engine'!$B$8:$G$35,5,FALSE)</f>
        <v>0</v>
      </c>
      <c r="T10" s="8">
        <f>VLOOKUP($C10,'Calculation engine'!$B$8:$G$35,2,FALSE)</f>
        <v>0</v>
      </c>
    </row>
    <row r="11" spans="2:20" ht="15" customHeight="1" x14ac:dyDescent="0.3">
      <c r="B11" s="155"/>
      <c r="C11" s="136" t="s">
        <v>22</v>
      </c>
      <c r="D11" s="137"/>
      <c r="E11" s="306"/>
      <c r="F11" s="138"/>
      <c r="G11" s="20" t="str">
        <f>VLOOKUP($C11,'Calculation engine'!$B$8:$G$35,6,FALSE)</f>
        <v>-</v>
      </c>
      <c r="H11" s="139"/>
      <c r="I11" s="248">
        <f t="shared" si="0"/>
        <v>0</v>
      </c>
      <c r="J11" s="248">
        <f t="shared" si="0"/>
        <v>0</v>
      </c>
      <c r="K11" s="248">
        <f t="shared" si="0"/>
        <v>0</v>
      </c>
      <c r="L11" s="203"/>
      <c r="M11" s="248">
        <f>SUM(I11:K11)</f>
        <v>0</v>
      </c>
      <c r="N11" s="249">
        <f>T11*E11</f>
        <v>0</v>
      </c>
      <c r="Q11" s="8">
        <f>VLOOKUP($C11,'Calculation engine'!$B$8:$G$35,3,FALSE)</f>
        <v>0</v>
      </c>
      <c r="R11" s="8">
        <f>VLOOKUP($C11,'Calculation engine'!$B$8:$G$35,4,FALSE)</f>
        <v>0</v>
      </c>
      <c r="S11" s="8">
        <f>VLOOKUP($C11,'Calculation engine'!$B$8:$G$35,5,FALSE)</f>
        <v>0</v>
      </c>
      <c r="T11" s="8">
        <f>VLOOKUP($C11,'Calculation engine'!$B$8:$G$35,2,FALSE)</f>
        <v>0</v>
      </c>
    </row>
    <row r="12" spans="2:20" ht="15" customHeight="1" x14ac:dyDescent="0.3">
      <c r="B12" s="155"/>
      <c r="C12" s="136" t="s">
        <v>22</v>
      </c>
      <c r="D12" s="137"/>
      <c r="E12" s="306"/>
      <c r="F12" s="138"/>
      <c r="G12" s="20" t="str">
        <f>VLOOKUP($C12,'Calculation engine'!$B$8:$G$35,6,FALSE)</f>
        <v>-</v>
      </c>
      <c r="H12" s="139"/>
      <c r="I12" s="248">
        <f t="shared" si="0"/>
        <v>0</v>
      </c>
      <c r="J12" s="248">
        <f t="shared" si="0"/>
        <v>0</v>
      </c>
      <c r="K12" s="248">
        <f t="shared" si="0"/>
        <v>0</v>
      </c>
      <c r="L12" s="203"/>
      <c r="M12" s="248">
        <f>SUM(I12:K12)</f>
        <v>0</v>
      </c>
      <c r="N12" s="249">
        <f>T12*E12</f>
        <v>0</v>
      </c>
      <c r="Q12" s="8">
        <f>VLOOKUP($C12,'Calculation engine'!$B$8:$G$35,3,FALSE)</f>
        <v>0</v>
      </c>
      <c r="R12" s="8">
        <f>VLOOKUP($C12,'Calculation engine'!$B$8:$G$35,4,FALSE)</f>
        <v>0</v>
      </c>
      <c r="S12" s="8">
        <f>VLOOKUP($C12,'Calculation engine'!$B$8:$G$35,5,FALSE)</f>
        <v>0</v>
      </c>
      <c r="T12" s="8">
        <f>VLOOKUP($C12,'Calculation engine'!$B$8:$G$35,2,FALSE)</f>
        <v>0</v>
      </c>
    </row>
    <row r="13" spans="2:20" ht="15" customHeight="1" x14ac:dyDescent="0.3">
      <c r="B13" s="155"/>
      <c r="C13" s="136" t="s">
        <v>22</v>
      </c>
      <c r="D13" s="137"/>
      <c r="E13" s="306"/>
      <c r="F13" s="138"/>
      <c r="G13" s="20" t="str">
        <f>VLOOKUP($C13,'Calculation engine'!$B$8:$G$35,6,FALSE)</f>
        <v>-</v>
      </c>
      <c r="H13" s="139"/>
      <c r="I13" s="248">
        <f t="shared" si="0"/>
        <v>0</v>
      </c>
      <c r="J13" s="248">
        <f t="shared" si="0"/>
        <v>0</v>
      </c>
      <c r="K13" s="248">
        <f t="shared" si="0"/>
        <v>0</v>
      </c>
      <c r="L13" s="203"/>
      <c r="M13" s="248">
        <f>SUM(I13:K13)</f>
        <v>0</v>
      </c>
      <c r="N13" s="249">
        <f>T13*E13</f>
        <v>0</v>
      </c>
      <c r="Q13" s="8">
        <f>VLOOKUP($C13,'Calculation engine'!$B$8:$G$35,3,FALSE)</f>
        <v>0</v>
      </c>
      <c r="R13" s="8">
        <f>VLOOKUP($C13,'Calculation engine'!$B$8:$G$35,4,FALSE)</f>
        <v>0</v>
      </c>
      <c r="S13" s="8">
        <f>VLOOKUP($C13,'Calculation engine'!$B$8:$G$35,5,FALSE)</f>
        <v>0</v>
      </c>
      <c r="T13" s="8">
        <f>VLOOKUP($C13,'Calculation engine'!$B$8:$G$35,2,FALSE)</f>
        <v>0</v>
      </c>
    </row>
    <row r="14" spans="2:20" ht="15" customHeight="1" x14ac:dyDescent="0.3">
      <c r="B14" s="155"/>
      <c r="C14" s="136" t="s">
        <v>22</v>
      </c>
      <c r="D14" s="137"/>
      <c r="E14" s="306"/>
      <c r="F14" s="138"/>
      <c r="G14" s="20" t="str">
        <f>VLOOKUP($C14,'Calculation engine'!$B$8:$G$35,6,FALSE)</f>
        <v>-</v>
      </c>
      <c r="H14" s="139"/>
      <c r="I14" s="248">
        <f t="shared" si="0"/>
        <v>0</v>
      </c>
      <c r="J14" s="248">
        <f t="shared" si="0"/>
        <v>0</v>
      </c>
      <c r="K14" s="248">
        <f t="shared" si="0"/>
        <v>0</v>
      </c>
      <c r="L14" s="203"/>
      <c r="M14" s="248">
        <f t="shared" si="1"/>
        <v>0</v>
      </c>
      <c r="N14" s="249">
        <f t="shared" si="2"/>
        <v>0</v>
      </c>
      <c r="Q14" s="8">
        <f>VLOOKUP($C14,'Calculation engine'!$B$8:$G$35,3,FALSE)</f>
        <v>0</v>
      </c>
      <c r="R14" s="8">
        <f>VLOOKUP($C14,'Calculation engine'!$B$8:$G$35,4,FALSE)</f>
        <v>0</v>
      </c>
      <c r="S14" s="8">
        <f>VLOOKUP($C14,'Calculation engine'!$B$8:$G$35,5,FALSE)</f>
        <v>0</v>
      </c>
      <c r="T14" s="8">
        <f>VLOOKUP($C14,'Calculation engine'!$B$8:$G$35,2,FALSE)</f>
        <v>0</v>
      </c>
    </row>
    <row r="15" spans="2:20" ht="15" customHeight="1" x14ac:dyDescent="0.3">
      <c r="B15" s="155"/>
      <c r="C15" s="136" t="s">
        <v>22</v>
      </c>
      <c r="D15" s="137"/>
      <c r="E15" s="306"/>
      <c r="F15" s="138"/>
      <c r="G15" s="20" t="str">
        <f>VLOOKUP($C15,'Calculation engine'!$B$8:$G$35,6,FALSE)</f>
        <v>-</v>
      </c>
      <c r="H15" s="139"/>
      <c r="I15" s="248">
        <f t="shared" si="0"/>
        <v>0</v>
      </c>
      <c r="J15" s="248">
        <f t="shared" si="0"/>
        <v>0</v>
      </c>
      <c r="K15" s="248">
        <f t="shared" si="0"/>
        <v>0</v>
      </c>
      <c r="L15" s="203"/>
      <c r="M15" s="248">
        <f t="shared" si="1"/>
        <v>0</v>
      </c>
      <c r="N15" s="249">
        <f t="shared" si="2"/>
        <v>0</v>
      </c>
      <c r="Q15" s="8">
        <f>VLOOKUP($C15,'Calculation engine'!$B$8:$G$35,3,FALSE)</f>
        <v>0</v>
      </c>
      <c r="R15" s="8">
        <f>VLOOKUP($C15,'Calculation engine'!$B$8:$G$35,4,FALSE)</f>
        <v>0</v>
      </c>
      <c r="S15" s="8">
        <f>VLOOKUP($C15,'Calculation engine'!$B$8:$G$35,5,FALSE)</f>
        <v>0</v>
      </c>
      <c r="T15" s="8">
        <f>VLOOKUP($C15,'Calculation engine'!$B$8:$G$35,2,FALSE)</f>
        <v>0</v>
      </c>
    </row>
    <row r="16" spans="2:20" ht="15" customHeight="1" x14ac:dyDescent="0.3">
      <c r="B16" s="158"/>
      <c r="C16" s="141"/>
      <c r="D16" s="141"/>
      <c r="E16" s="142"/>
      <c r="F16" s="142"/>
      <c r="G16" s="312" t="s">
        <v>23</v>
      </c>
      <c r="H16" s="312"/>
      <c r="I16" s="312"/>
      <c r="J16" s="312"/>
      <c r="K16" s="312"/>
      <c r="L16" s="312"/>
      <c r="M16" s="250">
        <f>SUM(M9:M15)</f>
        <v>0</v>
      </c>
      <c r="N16" s="251">
        <f>SUM(N9:N15)</f>
        <v>0</v>
      </c>
    </row>
    <row r="17" spans="2:20" ht="15" customHeight="1" x14ac:dyDescent="0.3">
      <c r="E17" s="20"/>
      <c r="F17" s="20"/>
      <c r="G17" s="20"/>
    </row>
    <row r="18" spans="2:20" ht="15" customHeight="1" x14ac:dyDescent="0.3">
      <c r="B18" s="126"/>
      <c r="C18" s="313" t="s">
        <v>353</v>
      </c>
      <c r="D18" s="202"/>
      <c r="E18" s="315" t="s">
        <v>5</v>
      </c>
      <c r="F18" s="202"/>
      <c r="G18" s="315" t="s">
        <v>6</v>
      </c>
      <c r="H18" s="152"/>
      <c r="I18" s="317" t="s">
        <v>24</v>
      </c>
      <c r="J18" s="317"/>
      <c r="K18" s="317"/>
      <c r="L18" s="152"/>
      <c r="M18" s="202" t="s">
        <v>8</v>
      </c>
      <c r="N18" s="63" t="s">
        <v>9</v>
      </c>
    </row>
    <row r="19" spans="2:20" ht="15.75" customHeight="1" x14ac:dyDescent="0.3">
      <c r="B19" s="153"/>
      <c r="C19" s="314"/>
      <c r="D19" s="201"/>
      <c r="E19" s="316"/>
      <c r="F19" s="201"/>
      <c r="G19" s="316"/>
      <c r="H19" s="26"/>
      <c r="I19" s="1" t="s">
        <v>11</v>
      </c>
      <c r="J19" s="1" t="s">
        <v>12</v>
      </c>
      <c r="K19" s="1" t="s">
        <v>13</v>
      </c>
      <c r="L19" s="201"/>
      <c r="M19" s="1" t="s">
        <v>14</v>
      </c>
      <c r="N19" s="154" t="s">
        <v>15</v>
      </c>
    </row>
    <row r="20" spans="2:20" ht="15" customHeight="1" x14ac:dyDescent="0.3">
      <c r="B20" s="155"/>
      <c r="C20" s="138" t="s">
        <v>16</v>
      </c>
      <c r="D20" s="138"/>
      <c r="E20" s="138" t="s">
        <v>17</v>
      </c>
      <c r="F20" s="138"/>
      <c r="G20" s="138"/>
      <c r="H20" s="137"/>
      <c r="I20" s="137"/>
      <c r="J20" s="137"/>
      <c r="K20" s="137"/>
      <c r="L20" s="137"/>
      <c r="M20" s="137"/>
      <c r="N20" s="157"/>
      <c r="Q20" s="8" t="s">
        <v>18</v>
      </c>
      <c r="R20" s="8" t="s">
        <v>19</v>
      </c>
      <c r="S20" s="8" t="s">
        <v>20</v>
      </c>
      <c r="T20" s="8" t="s">
        <v>21</v>
      </c>
    </row>
    <row r="21" spans="2:20" ht="15" customHeight="1" x14ac:dyDescent="0.3">
      <c r="B21" s="155"/>
      <c r="C21" s="136" t="s">
        <v>22</v>
      </c>
      <c r="D21" s="137"/>
      <c r="E21" s="295"/>
      <c r="F21" s="138"/>
      <c r="G21" s="20" t="str">
        <f>VLOOKUP($C21,'Calculation engine'!$I$8:$N$68,6,FALSE)</f>
        <v>-</v>
      </c>
      <c r="H21" s="139"/>
      <c r="I21" s="248">
        <f t="shared" ref="I21:K27" si="3">Q21*$N21/1000</f>
        <v>0</v>
      </c>
      <c r="J21" s="248">
        <f t="shared" si="3"/>
        <v>0</v>
      </c>
      <c r="K21" s="248">
        <f t="shared" si="3"/>
        <v>0</v>
      </c>
      <c r="L21" s="203"/>
      <c r="M21" s="248">
        <f t="shared" ref="M21:M27" si="4">SUM(I21:K21)</f>
        <v>0</v>
      </c>
      <c r="N21" s="249">
        <f t="shared" ref="N21:N27" si="5">T21*E21</f>
        <v>0</v>
      </c>
      <c r="Q21" s="8">
        <f>VLOOKUP($C21,'Calculation engine'!$I$8:$N$68,3,FALSE)</f>
        <v>0</v>
      </c>
      <c r="R21" s="8">
        <f>VLOOKUP($C21,'Calculation engine'!$I$8:$N$68,4,FALSE)</f>
        <v>0</v>
      </c>
      <c r="S21" s="8">
        <f>VLOOKUP($C21,'Calculation engine'!$I$8:$N$68,5,FALSE)</f>
        <v>0</v>
      </c>
      <c r="T21" s="8">
        <f>VLOOKUP($C21,'Calculation engine'!$I$8:$N$68,2,FALSE)</f>
        <v>0</v>
      </c>
    </row>
    <row r="22" spans="2:20" ht="14.25" customHeight="1" x14ac:dyDescent="0.3">
      <c r="B22" s="155"/>
      <c r="C22" s="136" t="s">
        <v>22</v>
      </c>
      <c r="D22" s="137"/>
      <c r="E22" s="306"/>
      <c r="F22" s="138"/>
      <c r="G22" s="20" t="str">
        <f>VLOOKUP($C22,'Calculation engine'!$I$8:$N$68,6,FALSE)</f>
        <v>-</v>
      </c>
      <c r="H22" s="139"/>
      <c r="I22" s="248">
        <f t="shared" si="3"/>
        <v>0</v>
      </c>
      <c r="J22" s="248">
        <f t="shared" si="3"/>
        <v>0</v>
      </c>
      <c r="K22" s="248">
        <f t="shared" si="3"/>
        <v>0</v>
      </c>
      <c r="L22" s="203"/>
      <c r="M22" s="248">
        <f t="shared" si="4"/>
        <v>0</v>
      </c>
      <c r="N22" s="249">
        <f t="shared" si="5"/>
        <v>0</v>
      </c>
      <c r="Q22" s="8">
        <f>VLOOKUP($C22,'Calculation engine'!$I$8:$N$68,3,FALSE)</f>
        <v>0</v>
      </c>
      <c r="R22" s="8">
        <f>VLOOKUP($C22,'Calculation engine'!$I$8:$N$68,4,FALSE)</f>
        <v>0</v>
      </c>
      <c r="S22" s="8">
        <f>VLOOKUP($C22,'Calculation engine'!$I$8:$N$68,5,FALSE)</f>
        <v>0</v>
      </c>
      <c r="T22" s="8">
        <f>VLOOKUP($C22,'Calculation engine'!$I$8:$N$68,2,FALSE)</f>
        <v>0</v>
      </c>
    </row>
    <row r="23" spans="2:20" ht="15" customHeight="1" x14ac:dyDescent="0.3">
      <c r="B23" s="155"/>
      <c r="C23" s="136" t="s">
        <v>22</v>
      </c>
      <c r="D23" s="137"/>
      <c r="E23" s="306"/>
      <c r="F23" s="138"/>
      <c r="G23" s="20" t="str">
        <f>VLOOKUP($C23,'Calculation engine'!$I$8:$N$68,6,FALSE)</f>
        <v>-</v>
      </c>
      <c r="H23" s="139"/>
      <c r="I23" s="248">
        <f t="shared" si="3"/>
        <v>0</v>
      </c>
      <c r="J23" s="248">
        <f t="shared" si="3"/>
        <v>0</v>
      </c>
      <c r="K23" s="248">
        <f t="shared" si="3"/>
        <v>0</v>
      </c>
      <c r="L23" s="203"/>
      <c r="M23" s="248">
        <f t="shared" si="4"/>
        <v>0</v>
      </c>
      <c r="N23" s="249">
        <f t="shared" si="5"/>
        <v>0</v>
      </c>
      <c r="Q23" s="8">
        <f>VLOOKUP($C23,'Calculation engine'!$I$8:$N$68,3,FALSE)</f>
        <v>0</v>
      </c>
      <c r="R23" s="8">
        <f>VLOOKUP($C23,'Calculation engine'!$I$8:$N$68,4,FALSE)</f>
        <v>0</v>
      </c>
      <c r="S23" s="8">
        <f>VLOOKUP($C23,'Calculation engine'!$I$8:$N$68,5,FALSE)</f>
        <v>0</v>
      </c>
      <c r="T23" s="8">
        <f>VLOOKUP($C23,'Calculation engine'!$I$8:$N$68,2,FALSE)</f>
        <v>0</v>
      </c>
    </row>
    <row r="24" spans="2:20" ht="15" customHeight="1" x14ac:dyDescent="0.3">
      <c r="B24" s="155"/>
      <c r="C24" s="136" t="s">
        <v>22</v>
      </c>
      <c r="D24" s="137"/>
      <c r="E24" s="306"/>
      <c r="F24" s="138"/>
      <c r="G24" s="20" t="str">
        <f>VLOOKUP($C24,'Calculation engine'!$I$8:$N$68,6,FALSE)</f>
        <v>-</v>
      </c>
      <c r="H24" s="139"/>
      <c r="I24" s="248">
        <f t="shared" si="3"/>
        <v>0</v>
      </c>
      <c r="J24" s="248">
        <f t="shared" si="3"/>
        <v>0</v>
      </c>
      <c r="K24" s="248">
        <f t="shared" si="3"/>
        <v>0</v>
      </c>
      <c r="L24" s="203"/>
      <c r="M24" s="248">
        <f t="shared" si="4"/>
        <v>0</v>
      </c>
      <c r="N24" s="249">
        <f t="shared" si="5"/>
        <v>0</v>
      </c>
      <c r="Q24" s="8">
        <f>VLOOKUP($C24,'Calculation engine'!$I$8:$N$68,3,FALSE)</f>
        <v>0</v>
      </c>
      <c r="R24" s="8">
        <f>VLOOKUP($C24,'Calculation engine'!$I$8:$N$68,4,FALSE)</f>
        <v>0</v>
      </c>
      <c r="S24" s="8">
        <f>VLOOKUP($C24,'Calculation engine'!$I$8:$N$68,5,FALSE)</f>
        <v>0</v>
      </c>
      <c r="T24" s="8">
        <f>VLOOKUP($C24,'Calculation engine'!$I$8:$N$68,2,FALSE)</f>
        <v>0</v>
      </c>
    </row>
    <row r="25" spans="2:20" ht="15" customHeight="1" x14ac:dyDescent="0.3">
      <c r="B25" s="155"/>
      <c r="C25" s="136" t="s">
        <v>22</v>
      </c>
      <c r="D25" s="137"/>
      <c r="E25" s="306"/>
      <c r="F25" s="138"/>
      <c r="G25" s="20" t="str">
        <f>VLOOKUP($C25,'Calculation engine'!$I$8:$N$68,6,FALSE)</f>
        <v>-</v>
      </c>
      <c r="H25" s="139"/>
      <c r="I25" s="248">
        <f t="shared" si="3"/>
        <v>0</v>
      </c>
      <c r="J25" s="248">
        <f t="shared" si="3"/>
        <v>0</v>
      </c>
      <c r="K25" s="248">
        <f t="shared" si="3"/>
        <v>0</v>
      </c>
      <c r="L25" s="203"/>
      <c r="M25" s="248">
        <f t="shared" si="4"/>
        <v>0</v>
      </c>
      <c r="N25" s="249">
        <f t="shared" si="5"/>
        <v>0</v>
      </c>
      <c r="Q25" s="8">
        <f>VLOOKUP($C25,'Calculation engine'!$I$8:$N$68,3,FALSE)</f>
        <v>0</v>
      </c>
      <c r="R25" s="8">
        <f>VLOOKUP($C25,'Calculation engine'!$I$8:$N$68,4,FALSE)</f>
        <v>0</v>
      </c>
      <c r="S25" s="8">
        <f>VLOOKUP($C25,'Calculation engine'!$I$8:$N$68,5,FALSE)</f>
        <v>0</v>
      </c>
      <c r="T25" s="8">
        <f>VLOOKUP($C25,'Calculation engine'!$I$8:$N$68,2,FALSE)</f>
        <v>0</v>
      </c>
    </row>
    <row r="26" spans="2:20" ht="15" customHeight="1" x14ac:dyDescent="0.3">
      <c r="B26" s="155"/>
      <c r="C26" s="136" t="s">
        <v>22</v>
      </c>
      <c r="D26" s="137"/>
      <c r="E26" s="306"/>
      <c r="F26" s="138"/>
      <c r="G26" s="20" t="str">
        <f>VLOOKUP($C26,'Calculation engine'!$I$8:$N$68,6,FALSE)</f>
        <v>-</v>
      </c>
      <c r="H26" s="139"/>
      <c r="I26" s="248">
        <f t="shared" si="3"/>
        <v>0</v>
      </c>
      <c r="J26" s="248">
        <f t="shared" si="3"/>
        <v>0</v>
      </c>
      <c r="K26" s="248">
        <f t="shared" si="3"/>
        <v>0</v>
      </c>
      <c r="L26" s="203"/>
      <c r="M26" s="248">
        <f t="shared" si="4"/>
        <v>0</v>
      </c>
      <c r="N26" s="249">
        <f t="shared" si="5"/>
        <v>0</v>
      </c>
      <c r="Q26" s="8">
        <f>VLOOKUP($C26,'Calculation engine'!$I$8:$N$68,3,FALSE)</f>
        <v>0</v>
      </c>
      <c r="R26" s="8">
        <f>VLOOKUP($C26,'Calculation engine'!$I$8:$N$68,4,FALSE)</f>
        <v>0</v>
      </c>
      <c r="S26" s="8">
        <f>VLOOKUP($C26,'Calculation engine'!$I$8:$N$68,5,FALSE)</f>
        <v>0</v>
      </c>
      <c r="T26" s="8">
        <f>VLOOKUP($C26,'Calculation engine'!$I$8:$N$68,2,FALSE)</f>
        <v>0</v>
      </c>
    </row>
    <row r="27" spans="2:20" ht="15" customHeight="1" x14ac:dyDescent="0.3">
      <c r="B27" s="155"/>
      <c r="C27" s="136" t="s">
        <v>22</v>
      </c>
      <c r="D27" s="137"/>
      <c r="E27" s="306"/>
      <c r="F27" s="138"/>
      <c r="G27" s="20" t="str">
        <f>VLOOKUP($C27,'Calculation engine'!$I$8:$N$68,6,FALSE)</f>
        <v>-</v>
      </c>
      <c r="H27" s="139"/>
      <c r="I27" s="248">
        <f t="shared" si="3"/>
        <v>0</v>
      </c>
      <c r="J27" s="248">
        <f t="shared" si="3"/>
        <v>0</v>
      </c>
      <c r="K27" s="248">
        <f t="shared" si="3"/>
        <v>0</v>
      </c>
      <c r="L27" s="203"/>
      <c r="M27" s="248">
        <f t="shared" si="4"/>
        <v>0</v>
      </c>
      <c r="N27" s="249">
        <f t="shared" si="5"/>
        <v>0</v>
      </c>
      <c r="Q27" s="8">
        <f>VLOOKUP($C27,'Calculation engine'!$I$8:$N$68,3,FALSE)</f>
        <v>0</v>
      </c>
      <c r="R27" s="8">
        <f>VLOOKUP($C27,'Calculation engine'!$I$8:$N$68,4,FALSE)</f>
        <v>0</v>
      </c>
      <c r="S27" s="8">
        <f>VLOOKUP($C27,'Calculation engine'!$I$8:$N$68,5,FALSE)</f>
        <v>0</v>
      </c>
      <c r="T27" s="8">
        <f>VLOOKUP($C27,'Calculation engine'!$I$8:$N$68,2,FALSE)</f>
        <v>0</v>
      </c>
    </row>
    <row r="28" spans="2:20" ht="15" customHeight="1" x14ac:dyDescent="0.3">
      <c r="B28" s="158"/>
      <c r="C28" s="141"/>
      <c r="D28" s="141"/>
      <c r="E28" s="142"/>
      <c r="F28" s="142"/>
      <c r="G28" s="312" t="s">
        <v>25</v>
      </c>
      <c r="H28" s="312"/>
      <c r="I28" s="312"/>
      <c r="J28" s="312"/>
      <c r="K28" s="312"/>
      <c r="L28" s="312"/>
      <c r="M28" s="250">
        <f>SUM(M21:M27)</f>
        <v>0</v>
      </c>
      <c r="N28" s="251">
        <f>SUM(N21:N27)</f>
        <v>0</v>
      </c>
    </row>
    <row r="29" spans="2:20" ht="15" customHeight="1" x14ac:dyDescent="0.3">
      <c r="E29" s="20"/>
      <c r="F29" s="20"/>
      <c r="G29" s="20"/>
    </row>
    <row r="30" spans="2:20" ht="15" customHeight="1" x14ac:dyDescent="0.3">
      <c r="B30" s="126"/>
      <c r="C30" s="313" t="s">
        <v>354</v>
      </c>
      <c r="D30" s="202"/>
      <c r="E30" s="315" t="s">
        <v>5</v>
      </c>
      <c r="F30" s="202"/>
      <c r="G30" s="315" t="s">
        <v>6</v>
      </c>
      <c r="H30" s="152"/>
      <c r="I30" s="317" t="s">
        <v>26</v>
      </c>
      <c r="J30" s="317"/>
      <c r="K30" s="317"/>
      <c r="L30" s="152"/>
      <c r="M30" s="202" t="s">
        <v>27</v>
      </c>
      <c r="N30" s="63" t="s">
        <v>9</v>
      </c>
    </row>
    <row r="31" spans="2:20" ht="15" customHeight="1" x14ac:dyDescent="0.3">
      <c r="B31" s="153"/>
      <c r="C31" s="314"/>
      <c r="D31" s="201"/>
      <c r="E31" s="316"/>
      <c r="F31" s="201"/>
      <c r="G31" s="316"/>
      <c r="H31" s="26"/>
      <c r="I31" s="1" t="s">
        <v>28</v>
      </c>
      <c r="J31" s="1"/>
      <c r="K31" s="26"/>
      <c r="L31" s="201"/>
      <c r="M31" s="1" t="s">
        <v>14</v>
      </c>
      <c r="N31" s="154" t="s">
        <v>15</v>
      </c>
      <c r="Q31" s="2" t="s">
        <v>29</v>
      </c>
    </row>
    <row r="32" spans="2:20" ht="15" customHeight="1" x14ac:dyDescent="0.3">
      <c r="B32" s="155"/>
      <c r="C32" s="138" t="s">
        <v>30</v>
      </c>
      <c r="D32" s="138"/>
      <c r="E32" s="138" t="s">
        <v>17</v>
      </c>
      <c r="F32" s="138"/>
      <c r="G32" s="138"/>
      <c r="H32" s="137"/>
      <c r="I32" s="137"/>
      <c r="J32" s="137"/>
      <c r="K32" s="137"/>
      <c r="L32" s="137"/>
      <c r="M32" s="137"/>
      <c r="N32" s="157"/>
      <c r="Q32" s="1" t="s">
        <v>21</v>
      </c>
    </row>
    <row r="33" spans="2:20" ht="15" customHeight="1" x14ac:dyDescent="0.3">
      <c r="B33" s="155"/>
      <c r="C33" s="136" t="s">
        <v>22</v>
      </c>
      <c r="D33" s="137"/>
      <c r="E33" s="295"/>
      <c r="F33" s="138"/>
      <c r="G33" s="20" t="s">
        <v>31</v>
      </c>
      <c r="I33" s="230">
        <f>VLOOKUP($C33,'Calculation engine'!$Q$10:$T$19,2,FALSE)</f>
        <v>0</v>
      </c>
      <c r="J33" s="324" t="str">
        <f>IF(C33="Not purchased from the main grid","You can enter a custom factor for EF","")</f>
        <v/>
      </c>
      <c r="K33" s="324"/>
      <c r="L33" s="324"/>
      <c r="M33" s="248">
        <f>E33*I33/1000</f>
        <v>0</v>
      </c>
      <c r="N33" s="249">
        <f>E33*Q34</f>
        <v>0</v>
      </c>
      <c r="Q33" s="3"/>
    </row>
    <row r="34" spans="2:20" ht="15.75" customHeight="1" x14ac:dyDescent="0.3">
      <c r="B34" s="155"/>
      <c r="C34" s="136" t="s">
        <v>22</v>
      </c>
      <c r="D34" s="137"/>
      <c r="E34" s="296"/>
      <c r="F34" s="138"/>
      <c r="G34" s="20" t="s">
        <v>31</v>
      </c>
      <c r="I34" s="230">
        <f>VLOOKUP($C34,'Calculation engine'!$Q$10:$T$19,2,FALSE)</f>
        <v>0</v>
      </c>
      <c r="J34" s="323" t="str">
        <f>IF(C34="Not purchased from the main grid","You can enter a custom factor for EF","")</f>
        <v/>
      </c>
      <c r="K34" s="323"/>
      <c r="L34" s="323"/>
      <c r="M34" s="248">
        <f>E34*I34/1000</f>
        <v>0</v>
      </c>
      <c r="N34" s="249">
        <f>E34*Q35</f>
        <v>0</v>
      </c>
      <c r="Q34" s="4">
        <f>VLOOKUP($C33,'Calculation engine'!$Q$10:$T$19,3,FALSE)</f>
        <v>0</v>
      </c>
    </row>
    <row r="35" spans="2:20" ht="16.5" customHeight="1" x14ac:dyDescent="0.3">
      <c r="B35" s="158"/>
      <c r="C35" s="141"/>
      <c r="D35" s="141"/>
      <c r="E35" s="142"/>
      <c r="F35" s="142"/>
      <c r="G35" s="312" t="s">
        <v>32</v>
      </c>
      <c r="H35" s="312"/>
      <c r="I35" s="312"/>
      <c r="J35" s="312"/>
      <c r="K35" s="312"/>
      <c r="L35" s="312"/>
      <c r="M35" s="250">
        <f>SUM(M33:M34)</f>
        <v>0</v>
      </c>
      <c r="N35" s="251">
        <f>SUM(N33:N34)</f>
        <v>0</v>
      </c>
      <c r="Q35" s="4">
        <f>VLOOKUP($C34,'Calculation engine'!$Q$10:$T$19,3,FALSE)</f>
        <v>0</v>
      </c>
    </row>
    <row r="36" spans="2:20" ht="15" customHeight="1" x14ac:dyDescent="0.3">
      <c r="E36" s="20"/>
      <c r="F36" s="20"/>
      <c r="G36" s="160"/>
      <c r="H36" s="160"/>
      <c r="I36" s="160"/>
      <c r="J36" s="160"/>
      <c r="K36" s="160"/>
      <c r="L36" s="160"/>
      <c r="M36" s="24"/>
      <c r="N36" s="24"/>
    </row>
    <row r="37" spans="2:20" ht="15" customHeight="1" x14ac:dyDescent="0.3">
      <c r="B37" s="126"/>
      <c r="C37" s="313" t="s">
        <v>355</v>
      </c>
      <c r="D37" s="202"/>
      <c r="E37" s="315" t="s">
        <v>5</v>
      </c>
      <c r="F37" s="202"/>
      <c r="G37" s="315" t="s">
        <v>6</v>
      </c>
      <c r="H37" s="152"/>
      <c r="I37" s="317"/>
      <c r="J37" s="317"/>
      <c r="K37" s="317"/>
      <c r="L37" s="152"/>
      <c r="M37" s="202"/>
      <c r="N37" s="63" t="s">
        <v>9</v>
      </c>
    </row>
    <row r="38" spans="2:20" ht="15" customHeight="1" x14ac:dyDescent="0.3">
      <c r="B38" s="153"/>
      <c r="C38" s="314"/>
      <c r="D38" s="201"/>
      <c r="E38" s="316"/>
      <c r="F38" s="201"/>
      <c r="G38" s="316"/>
      <c r="H38" s="26"/>
      <c r="I38" s="1"/>
      <c r="J38" s="1"/>
      <c r="K38" s="26"/>
      <c r="L38" s="201"/>
      <c r="M38" s="1"/>
      <c r="N38" s="154" t="s">
        <v>15</v>
      </c>
    </row>
    <row r="39" spans="2:20" ht="15" customHeight="1" x14ac:dyDescent="0.3">
      <c r="B39" s="155"/>
      <c r="C39" s="138" t="s">
        <v>33</v>
      </c>
      <c r="D39" s="138"/>
      <c r="E39" s="138" t="s">
        <v>17</v>
      </c>
      <c r="F39" s="138"/>
      <c r="G39" s="138"/>
      <c r="H39" s="137"/>
      <c r="I39" s="137"/>
      <c r="J39" s="137"/>
      <c r="K39" s="137"/>
      <c r="L39" s="137"/>
      <c r="M39" s="137"/>
      <c r="N39" s="157"/>
      <c r="Q39" s="8" t="s">
        <v>18</v>
      </c>
      <c r="R39" s="8" t="s">
        <v>19</v>
      </c>
      <c r="S39" s="8" t="s">
        <v>20</v>
      </c>
      <c r="T39" s="8" t="s">
        <v>21</v>
      </c>
    </row>
    <row r="40" spans="2:20" ht="15" customHeight="1" x14ac:dyDescent="0.3">
      <c r="B40" s="155"/>
      <c r="C40" s="136" t="s">
        <v>22</v>
      </c>
      <c r="D40" s="137"/>
      <c r="E40" s="295"/>
      <c r="F40" s="138"/>
      <c r="G40" s="20" t="str">
        <f>VLOOKUP($C40,'Calculation engine'!$AD$8:$AI$84,6,FALSE)</f>
        <v>-</v>
      </c>
      <c r="I40" s="22"/>
      <c r="J40" s="22"/>
      <c r="K40" s="161"/>
      <c r="L40" s="22"/>
      <c r="M40" s="22">
        <f>E40*I40/1000</f>
        <v>0</v>
      </c>
      <c r="N40" s="249">
        <f>T40*E40</f>
        <v>0</v>
      </c>
      <c r="Q40" s="8"/>
      <c r="R40" s="8"/>
      <c r="S40" s="8"/>
      <c r="T40" s="8">
        <f>VLOOKUP($C40,'Calculation engine'!$AD$8:$AI$84,5,FALSE)</f>
        <v>0</v>
      </c>
    </row>
    <row r="41" spans="2:20" ht="15" customHeight="1" x14ac:dyDescent="0.3">
      <c r="B41" s="155"/>
      <c r="C41" s="136" t="s">
        <v>22</v>
      </c>
      <c r="D41" s="137"/>
      <c r="E41" s="297"/>
      <c r="F41" s="138"/>
      <c r="G41" s="20" t="str">
        <f>VLOOKUP($C41,'Calculation engine'!$AD$8:$AI$84,6,FALSE)</f>
        <v>-</v>
      </c>
      <c r="I41" s="22"/>
      <c r="J41" s="22"/>
      <c r="K41" s="161"/>
      <c r="L41" s="22"/>
      <c r="M41" s="22"/>
      <c r="N41" s="249">
        <f>T41*E41</f>
        <v>0</v>
      </c>
      <c r="Q41" s="8"/>
      <c r="R41" s="8"/>
      <c r="S41" s="8"/>
      <c r="T41" s="8">
        <f>VLOOKUP($C41,'Calculation engine'!$AD$8:$AI$84,5,FALSE)</f>
        <v>0</v>
      </c>
    </row>
    <row r="42" spans="2:20" ht="15" customHeight="1" x14ac:dyDescent="0.3">
      <c r="B42" s="155"/>
      <c r="C42" s="136" t="s">
        <v>22</v>
      </c>
      <c r="D42" s="137"/>
      <c r="E42" s="296"/>
      <c r="F42" s="138"/>
      <c r="G42" s="20" t="str">
        <f>VLOOKUP($C42,'Calculation engine'!$AD$8:$AI$84,6,FALSE)</f>
        <v>-</v>
      </c>
      <c r="I42" s="22"/>
      <c r="J42" s="322"/>
      <c r="K42" s="322"/>
      <c r="L42" s="22"/>
      <c r="M42" s="22">
        <f>E42*I42/1000</f>
        <v>0</v>
      </c>
      <c r="N42" s="249">
        <f>T42*E42</f>
        <v>0</v>
      </c>
      <c r="Q42" s="8"/>
      <c r="R42" s="8"/>
      <c r="S42" s="8"/>
      <c r="T42" s="8">
        <f>VLOOKUP($C42,'Calculation engine'!$AD$8:$AI$84,5,FALSE)</f>
        <v>0</v>
      </c>
    </row>
    <row r="43" spans="2:20" ht="15" customHeight="1" x14ac:dyDescent="0.3">
      <c r="B43" s="158"/>
      <c r="C43" s="141"/>
      <c r="D43" s="141"/>
      <c r="E43" s="142"/>
      <c r="F43" s="142"/>
      <c r="G43" s="312" t="s">
        <v>34</v>
      </c>
      <c r="H43" s="312"/>
      <c r="I43" s="312"/>
      <c r="J43" s="312"/>
      <c r="K43" s="312"/>
      <c r="L43" s="312"/>
      <c r="M43" s="162"/>
      <c r="N43" s="251">
        <f>SUM(N40:N42)</f>
        <v>0</v>
      </c>
    </row>
    <row r="44" spans="2:20" ht="15" customHeight="1" x14ac:dyDescent="0.3">
      <c r="E44" s="20"/>
      <c r="F44" s="20"/>
      <c r="G44" s="160"/>
      <c r="H44" s="160"/>
      <c r="I44" s="160"/>
      <c r="J44" s="160"/>
      <c r="K44" s="160"/>
      <c r="L44" s="160"/>
      <c r="M44" s="24"/>
      <c r="N44" s="24"/>
    </row>
    <row r="45" spans="2:20" ht="15" customHeight="1" x14ac:dyDescent="0.3">
      <c r="B45" s="126"/>
      <c r="C45" s="313" t="s">
        <v>356</v>
      </c>
      <c r="D45" s="202"/>
      <c r="E45" s="315" t="s">
        <v>5</v>
      </c>
      <c r="F45" s="202"/>
      <c r="G45" s="315" t="s">
        <v>6</v>
      </c>
      <c r="H45" s="152"/>
      <c r="I45" s="317"/>
      <c r="J45" s="317"/>
      <c r="K45" s="317"/>
      <c r="L45" s="152"/>
      <c r="M45" s="202"/>
      <c r="N45" s="63" t="s">
        <v>9</v>
      </c>
    </row>
    <row r="46" spans="2:20" ht="15" customHeight="1" x14ac:dyDescent="0.3">
      <c r="B46" s="153"/>
      <c r="C46" s="314"/>
      <c r="D46" s="201"/>
      <c r="E46" s="316"/>
      <c r="F46" s="201"/>
      <c r="G46" s="316"/>
      <c r="H46" s="26"/>
      <c r="I46" s="1"/>
      <c r="J46" s="1"/>
      <c r="K46" s="26"/>
      <c r="L46" s="201"/>
      <c r="M46" s="1"/>
      <c r="N46" s="154" t="s">
        <v>15</v>
      </c>
    </row>
    <row r="47" spans="2:20" ht="15" customHeight="1" x14ac:dyDescent="0.3">
      <c r="B47" s="155"/>
      <c r="C47" s="138" t="s">
        <v>35</v>
      </c>
      <c r="D47" s="138"/>
      <c r="E47" s="138" t="s">
        <v>17</v>
      </c>
      <c r="F47" s="138"/>
      <c r="G47" s="138"/>
      <c r="H47" s="137"/>
      <c r="I47" s="137"/>
      <c r="J47" s="137"/>
      <c r="K47" s="137"/>
      <c r="L47" s="137"/>
      <c r="M47" s="137"/>
      <c r="N47" s="157"/>
      <c r="Q47" s="8" t="s">
        <v>18</v>
      </c>
      <c r="R47" s="8" t="s">
        <v>19</v>
      </c>
      <c r="S47" s="8" t="s">
        <v>20</v>
      </c>
      <c r="T47" s="8" t="s">
        <v>21</v>
      </c>
    </row>
    <row r="48" spans="2:20" ht="15" customHeight="1" x14ac:dyDescent="0.3">
      <c r="B48" s="155"/>
      <c r="C48" s="136" t="s">
        <v>22</v>
      </c>
      <c r="D48" s="137"/>
      <c r="E48" s="295"/>
      <c r="F48" s="138"/>
      <c r="G48" s="20" t="str">
        <f>VLOOKUP($C48,'Calculation engine'!$W$8:$AB$78,6,FALSE)</f>
        <v>-</v>
      </c>
      <c r="I48" s="22"/>
      <c r="J48" s="22"/>
      <c r="K48" s="161"/>
      <c r="L48" s="22"/>
      <c r="M48" s="22">
        <f>E48*I48/1000</f>
        <v>0</v>
      </c>
      <c r="N48" s="249">
        <f>T48*E48</f>
        <v>0</v>
      </c>
      <c r="Q48" s="8"/>
      <c r="R48" s="8"/>
      <c r="S48" s="8"/>
      <c r="T48" s="8">
        <f>VLOOKUP($C48,'Calculation engine'!$W$8:$AB$78,5,FALSE)</f>
        <v>0</v>
      </c>
    </row>
    <row r="49" spans="2:20" ht="15" customHeight="1" x14ac:dyDescent="0.3">
      <c r="B49" s="155"/>
      <c r="C49" s="136" t="s">
        <v>22</v>
      </c>
      <c r="D49" s="137"/>
      <c r="E49" s="297"/>
      <c r="F49" s="138"/>
      <c r="G49" s="20" t="str">
        <f>VLOOKUP($C49,'Calculation engine'!$W$8:$AB$78,6,FALSE)</f>
        <v>-</v>
      </c>
      <c r="I49" s="22"/>
      <c r="J49" s="22"/>
      <c r="K49" s="161"/>
      <c r="L49" s="22"/>
      <c r="M49" s="22"/>
      <c r="N49" s="249">
        <f>T49*E49</f>
        <v>0</v>
      </c>
      <c r="Q49" s="8"/>
      <c r="R49" s="8"/>
      <c r="S49" s="8"/>
      <c r="T49" s="8">
        <f>VLOOKUP($C49,'Calculation engine'!$W$8:$AB$78,5,FALSE)</f>
        <v>0</v>
      </c>
    </row>
    <row r="50" spans="2:20" ht="15" customHeight="1" x14ac:dyDescent="0.3">
      <c r="B50" s="155"/>
      <c r="C50" s="136" t="s">
        <v>22</v>
      </c>
      <c r="D50" s="137"/>
      <c r="E50" s="296"/>
      <c r="F50" s="138"/>
      <c r="G50" s="20" t="str">
        <f>VLOOKUP($C50,'Calculation engine'!$W$8:$AB$78,6,FALSE)</f>
        <v>-</v>
      </c>
      <c r="I50" s="22"/>
      <c r="J50" s="322"/>
      <c r="K50" s="322"/>
      <c r="L50" s="22"/>
      <c r="M50" s="22">
        <f>E50*I50/1000</f>
        <v>0</v>
      </c>
      <c r="N50" s="249">
        <f>T50*E50</f>
        <v>0</v>
      </c>
      <c r="Q50" s="8"/>
      <c r="R50" s="8"/>
      <c r="S50" s="8"/>
      <c r="T50" s="8">
        <f>VLOOKUP($C50,'Calculation engine'!$W$8:$AB$78,5,FALSE)</f>
        <v>0</v>
      </c>
    </row>
    <row r="51" spans="2:20" ht="15" customHeight="1" x14ac:dyDescent="0.3">
      <c r="B51" s="158"/>
      <c r="C51" s="141"/>
      <c r="D51" s="141"/>
      <c r="E51" s="142"/>
      <c r="F51" s="142"/>
      <c r="G51" s="312" t="s">
        <v>36</v>
      </c>
      <c r="H51" s="312"/>
      <c r="I51" s="312"/>
      <c r="J51" s="312"/>
      <c r="K51" s="312"/>
      <c r="L51" s="312"/>
      <c r="M51" s="162"/>
      <c r="N51" s="251">
        <f>SUM(N48:N50)</f>
        <v>0</v>
      </c>
    </row>
    <row r="52" spans="2:20" ht="15" customHeight="1" x14ac:dyDescent="0.3">
      <c r="E52" s="20"/>
      <c r="F52" s="20"/>
      <c r="G52" s="160"/>
      <c r="H52" s="160"/>
      <c r="I52" s="160"/>
      <c r="J52" s="160"/>
      <c r="K52" s="160"/>
      <c r="L52" s="160"/>
      <c r="M52" s="24"/>
      <c r="N52" s="197"/>
    </row>
    <row r="53" spans="2:20" ht="15" customHeight="1" x14ac:dyDescent="0.35">
      <c r="B53" s="126"/>
      <c r="C53" s="313" t="s">
        <v>357</v>
      </c>
      <c r="D53" s="202"/>
      <c r="E53" s="315"/>
      <c r="F53" s="202"/>
      <c r="G53" s="315"/>
      <c r="H53" s="152"/>
      <c r="I53" s="317" t="s">
        <v>37</v>
      </c>
      <c r="J53" s="317"/>
      <c r="K53" s="317"/>
      <c r="L53" s="152"/>
      <c r="M53" s="202" t="s">
        <v>8</v>
      </c>
      <c r="N53" s="63"/>
    </row>
    <row r="54" spans="2:20" ht="15" customHeight="1" x14ac:dyDescent="0.3">
      <c r="B54" s="153"/>
      <c r="C54" s="314"/>
      <c r="D54" s="201"/>
      <c r="E54" s="316"/>
      <c r="F54" s="201"/>
      <c r="G54" s="316"/>
      <c r="H54" s="26"/>
      <c r="I54" s="1" t="s">
        <v>11</v>
      </c>
      <c r="J54" s="1" t="s">
        <v>12</v>
      </c>
      <c r="K54" s="1" t="s">
        <v>13</v>
      </c>
      <c r="L54" s="201"/>
      <c r="M54" s="1" t="s">
        <v>14</v>
      </c>
      <c r="N54" s="154"/>
    </row>
    <row r="55" spans="2:20" ht="15" customHeight="1" x14ac:dyDescent="0.3">
      <c r="B55" s="155"/>
      <c r="C55" s="138" t="s">
        <v>38</v>
      </c>
      <c r="D55" s="138"/>
      <c r="E55" s="138"/>
      <c r="F55" s="138"/>
      <c r="G55" s="138"/>
      <c r="H55" s="137"/>
      <c r="I55" s="137"/>
      <c r="J55" s="137"/>
      <c r="K55" s="137"/>
      <c r="L55" s="137"/>
      <c r="M55" s="198"/>
      <c r="N55" s="157"/>
      <c r="Q55" s="2">
        <v>0</v>
      </c>
    </row>
    <row r="56" spans="2:20" s="9" customFormat="1" ht="15" customHeight="1" x14ac:dyDescent="0.3">
      <c r="B56" s="155"/>
      <c r="C56" s="159"/>
      <c r="D56" s="137"/>
      <c r="E56" s="217"/>
      <c r="F56" s="138"/>
      <c r="G56" s="138"/>
      <c r="H56" s="156"/>
      <c r="I56" s="199">
        <v>0</v>
      </c>
      <c r="J56" s="199">
        <v>0</v>
      </c>
      <c r="K56" s="199">
        <v>0</v>
      </c>
      <c r="L56" s="203"/>
      <c r="M56" s="248">
        <f>SUM(I56:K56)</f>
        <v>0</v>
      </c>
      <c r="N56" s="140"/>
      <c r="Q56" s="9">
        <v>25000</v>
      </c>
    </row>
    <row r="57" spans="2:20" s="9" customFormat="1" ht="15" customHeight="1" x14ac:dyDescent="0.3">
      <c r="B57" s="155"/>
      <c r="C57" s="159"/>
      <c r="D57" s="137"/>
      <c r="E57" s="217"/>
      <c r="F57" s="138"/>
      <c r="G57" s="138"/>
      <c r="H57" s="156"/>
      <c r="I57" s="199">
        <v>0</v>
      </c>
      <c r="J57" s="199">
        <v>0</v>
      </c>
      <c r="K57" s="199">
        <v>0</v>
      </c>
      <c r="L57" s="203"/>
      <c r="M57" s="248">
        <f>SUM(I57:K57)</f>
        <v>0</v>
      </c>
      <c r="N57" s="140"/>
    </row>
    <row r="58" spans="2:20" s="9" customFormat="1" ht="15" customHeight="1" x14ac:dyDescent="0.3">
      <c r="B58" s="158"/>
      <c r="C58" s="141"/>
      <c r="D58" s="141"/>
      <c r="E58" s="142"/>
      <c r="F58" s="142"/>
      <c r="G58" s="312" t="s">
        <v>39</v>
      </c>
      <c r="H58" s="312"/>
      <c r="I58" s="312"/>
      <c r="J58" s="312"/>
      <c r="K58" s="312"/>
      <c r="L58" s="312"/>
      <c r="M58" s="250">
        <f>SUM(M56:M57)</f>
        <v>0</v>
      </c>
      <c r="N58" s="143"/>
    </row>
    <row r="59" spans="2:20" s="9" customFormat="1" ht="15" customHeight="1" x14ac:dyDescent="0.3">
      <c r="B59" s="2"/>
      <c r="C59" s="2"/>
      <c r="D59" s="2"/>
      <c r="E59" s="2"/>
      <c r="F59" s="2"/>
      <c r="G59" s="2"/>
      <c r="H59" s="2"/>
      <c r="I59" s="2"/>
      <c r="J59" s="2"/>
      <c r="K59" s="2"/>
      <c r="L59" s="2"/>
      <c r="M59" s="2"/>
      <c r="N59" s="2"/>
    </row>
    <row r="60" spans="2:20" s="9" customFormat="1" ht="15" customHeight="1" x14ac:dyDescent="0.3">
      <c r="B60" s="116"/>
      <c r="C60" s="325" t="s">
        <v>358</v>
      </c>
      <c r="D60" s="327" t="s">
        <v>40</v>
      </c>
      <c r="E60" s="327"/>
      <c r="F60" s="327"/>
      <c r="G60" s="327"/>
      <c r="H60" s="163"/>
      <c r="I60" s="163"/>
      <c r="J60" s="164"/>
      <c r="K60" s="164"/>
      <c r="L60" s="327" t="s">
        <v>41</v>
      </c>
      <c r="M60" s="327"/>
      <c r="N60" s="165"/>
    </row>
    <row r="61" spans="2:20" s="9" customFormat="1" ht="15" customHeight="1" x14ac:dyDescent="0.3">
      <c r="B61" s="144"/>
      <c r="C61" s="314"/>
      <c r="D61" s="316"/>
      <c r="E61" s="316"/>
      <c r="F61" s="316"/>
      <c r="G61" s="316"/>
      <c r="H61" s="26"/>
      <c r="I61" s="1"/>
      <c r="J61" s="166"/>
      <c r="K61" s="166"/>
      <c r="L61" s="316"/>
      <c r="M61" s="316"/>
      <c r="N61" s="167"/>
    </row>
    <row r="62" spans="2:20" s="9" customFormat="1" ht="15" customHeight="1" x14ac:dyDescent="0.3">
      <c r="B62" s="144"/>
      <c r="C62" s="65" t="s">
        <v>42</v>
      </c>
      <c r="D62" s="331">
        <f>M16+M28+M58</f>
        <v>0</v>
      </c>
      <c r="E62" s="331"/>
      <c r="F62" s="20"/>
      <c r="G62" s="9" t="s">
        <v>43</v>
      </c>
      <c r="L62" s="247">
        <f>IFERROR((D62/'Facility 6'!$N$4)*Output!$N$2,0)</f>
        <v>0</v>
      </c>
      <c r="M62" s="190" t="s">
        <v>43</v>
      </c>
      <c r="N62" s="145"/>
    </row>
    <row r="63" spans="2:20" s="9" customFormat="1" ht="15" customHeight="1" x14ac:dyDescent="0.3">
      <c r="B63" s="146"/>
      <c r="C63" s="65" t="s">
        <v>44</v>
      </c>
      <c r="D63" s="331">
        <f>M35</f>
        <v>0</v>
      </c>
      <c r="E63" s="331"/>
      <c r="F63" s="20"/>
      <c r="G63" s="9" t="s">
        <v>43</v>
      </c>
      <c r="L63" s="247">
        <f>IFERROR((D63/'Facility 6'!$N$4)*Output!$N$2,0)</f>
        <v>0</v>
      </c>
      <c r="M63" s="190" t="s">
        <v>43</v>
      </c>
      <c r="N63" s="49"/>
    </row>
    <row r="64" spans="2:20" ht="15" customHeight="1" x14ac:dyDescent="0.3">
      <c r="B64" s="146"/>
      <c r="C64" s="14" t="s">
        <v>45</v>
      </c>
      <c r="D64" s="337">
        <f>D62+D63</f>
        <v>0</v>
      </c>
      <c r="E64" s="338"/>
      <c r="F64" s="20"/>
      <c r="G64" s="191" t="s">
        <v>46</v>
      </c>
      <c r="H64" s="191"/>
      <c r="I64" s="9"/>
      <c r="J64" s="9"/>
      <c r="K64" s="9"/>
      <c r="L64" s="252">
        <f>IFERROR((D64/'Facility 6'!$N$4)*Output!$N$2,0)</f>
        <v>0</v>
      </c>
      <c r="M64" s="192" t="s">
        <v>46</v>
      </c>
      <c r="N64" s="211"/>
    </row>
    <row r="65" spans="2:14" ht="15" customHeight="1" x14ac:dyDescent="0.3">
      <c r="B65" s="146"/>
      <c r="C65" s="15" t="s">
        <v>47</v>
      </c>
      <c r="D65" s="339">
        <f>N16+N28+N35+N43</f>
        <v>0</v>
      </c>
      <c r="E65" s="340"/>
      <c r="F65" s="193"/>
      <c r="G65" s="51" t="s">
        <v>48</v>
      </c>
      <c r="H65" s="51"/>
      <c r="I65" s="194"/>
      <c r="J65" s="194"/>
      <c r="K65" s="194"/>
      <c r="L65" s="252">
        <f>IFERROR((D65/'Facility 6'!$N$4)*Output!$N$2,0)</f>
        <v>0</v>
      </c>
      <c r="M65" s="85" t="s">
        <v>48</v>
      </c>
      <c r="N65" s="55"/>
    </row>
    <row r="66" spans="2:14" ht="15" customHeight="1" x14ac:dyDescent="0.3">
      <c r="B66" s="147"/>
      <c r="C66" s="17" t="s">
        <v>49</v>
      </c>
      <c r="D66" s="341">
        <f>N51</f>
        <v>0</v>
      </c>
      <c r="E66" s="342"/>
      <c r="F66" s="195"/>
      <c r="G66" s="57" t="s">
        <v>48</v>
      </c>
      <c r="H66" s="57"/>
      <c r="I66" s="196"/>
      <c r="J66" s="196"/>
      <c r="K66" s="196"/>
      <c r="L66" s="253">
        <f>IFERROR((D66/'Facility 6'!$N$4)*Output!$N$2,0)</f>
        <v>0</v>
      </c>
      <c r="M66" s="86" t="s">
        <v>48</v>
      </c>
      <c r="N66" s="61"/>
    </row>
    <row r="67" spans="2:14" ht="15" customHeight="1" x14ac:dyDescent="0.3">
      <c r="B67" s="9"/>
      <c r="C67" s="16"/>
      <c r="D67" s="13"/>
      <c r="E67" s="13"/>
      <c r="F67" s="12"/>
      <c r="G67" s="12"/>
      <c r="H67" s="12"/>
      <c r="I67" s="10"/>
      <c r="J67" s="10"/>
      <c r="K67" s="10"/>
      <c r="L67" s="10"/>
      <c r="M67" s="11"/>
      <c r="N67" s="11"/>
    </row>
    <row r="68" spans="2:14" ht="15" customHeight="1" x14ac:dyDescent="0.3">
      <c r="B68" s="148"/>
      <c r="C68" s="325" t="s">
        <v>359</v>
      </c>
      <c r="D68" s="325"/>
      <c r="E68" s="325"/>
      <c r="F68" s="325"/>
      <c r="G68" s="325"/>
      <c r="H68" s="325"/>
      <c r="I68" s="325"/>
      <c r="J68" s="325"/>
      <c r="K68" s="325"/>
      <c r="L68" s="325"/>
      <c r="M68" s="325"/>
      <c r="N68" s="329"/>
    </row>
    <row r="69" spans="2:14" ht="15" customHeight="1" x14ac:dyDescent="0.3">
      <c r="B69" s="18"/>
      <c r="C69" s="314"/>
      <c r="D69" s="314"/>
      <c r="E69" s="314"/>
      <c r="F69" s="314"/>
      <c r="G69" s="314"/>
      <c r="H69" s="314"/>
      <c r="I69" s="314"/>
      <c r="J69" s="314"/>
      <c r="K69" s="314"/>
      <c r="L69" s="314"/>
      <c r="M69" s="314"/>
      <c r="N69" s="330"/>
    </row>
    <row r="70" spans="2:14" ht="15" customHeight="1" x14ac:dyDescent="0.3">
      <c r="B70" s="19"/>
      <c r="C70" s="326" t="s">
        <v>50</v>
      </c>
      <c r="D70" s="30"/>
      <c r="E70" s="31" t="s">
        <v>51</v>
      </c>
      <c r="F70" s="336" t="str">
        <f>IF(L64&gt;=25000,"You may have triggered the emissions reporting threshold for this facility. Please contact the Clean Energy Regulator",IF(L64&gt;21000, "You are close to the emissions reporting threshold for this facility. Please contact the Clean Energy Regulator",""))</f>
        <v/>
      </c>
      <c r="G70" s="336"/>
      <c r="H70" s="336"/>
      <c r="I70" s="336"/>
      <c r="J70" s="336"/>
      <c r="K70" s="336"/>
      <c r="L70" s="336"/>
      <c r="M70" s="336"/>
      <c r="N70" s="32" t="s">
        <v>52</v>
      </c>
    </row>
    <row r="71" spans="2:14" ht="15" customHeight="1" x14ac:dyDescent="0.35">
      <c r="B71" s="144"/>
      <c r="C71" s="326"/>
      <c r="D71" s="33"/>
      <c r="E71" s="332">
        <f>L64</f>
        <v>0</v>
      </c>
      <c r="F71" s="332"/>
      <c r="G71" s="332"/>
      <c r="H71" s="332"/>
      <c r="I71" s="332"/>
      <c r="J71" s="332"/>
      <c r="K71" s="332"/>
      <c r="L71" s="332"/>
      <c r="M71" s="332"/>
      <c r="N71" s="333"/>
    </row>
    <row r="72" spans="2:14" ht="15" customHeight="1" x14ac:dyDescent="0.35">
      <c r="B72" s="144"/>
      <c r="C72" s="326" t="s">
        <v>53</v>
      </c>
      <c r="D72" s="33"/>
      <c r="E72" s="34" t="s">
        <v>54</v>
      </c>
      <c r="F72" s="343" t="str">
        <f>IF(L65&gt;=100000,"You may have triggered the energy reporting threshold for this facility. Please contact the Clean Energy Regulator",IF(L65&gt;90000, "You are close to the energy reporting threshold for this facility. Please contact the Clean Energy Regulator",""))</f>
        <v/>
      </c>
      <c r="G72" s="343"/>
      <c r="H72" s="343"/>
      <c r="I72" s="343"/>
      <c r="J72" s="343"/>
      <c r="K72" s="343"/>
      <c r="L72" s="343"/>
      <c r="M72" s="343"/>
      <c r="N72" s="35" t="s">
        <v>55</v>
      </c>
    </row>
    <row r="73" spans="2:14" ht="17.55" customHeight="1" x14ac:dyDescent="0.3">
      <c r="B73" s="144"/>
      <c r="C73" s="326"/>
      <c r="E73" s="332">
        <f>L65</f>
        <v>0</v>
      </c>
      <c r="F73" s="332"/>
      <c r="G73" s="332"/>
      <c r="H73" s="332"/>
      <c r="I73" s="332"/>
      <c r="J73" s="332"/>
      <c r="K73" s="332"/>
      <c r="L73" s="332"/>
      <c r="M73" s="332"/>
      <c r="N73" s="333"/>
    </row>
    <row r="74" spans="2:14" ht="17.55" customHeight="1" x14ac:dyDescent="0.3">
      <c r="B74" s="144"/>
      <c r="C74" s="326" t="s">
        <v>56</v>
      </c>
      <c r="E74" s="34" t="s">
        <v>54</v>
      </c>
      <c r="F74" s="343" t="str">
        <f>IF(L66&gt;=100000,"You may have triggered the energy reporting threshold for this facility. Please contact the Clean Energy Regulator",IF(L66&gt;90000, "You are close to the energy reporting threshold for this facility. Please contact the Clean Energy Regulator",""))</f>
        <v/>
      </c>
      <c r="G74" s="343"/>
      <c r="H74" s="343"/>
      <c r="I74" s="343"/>
      <c r="J74" s="343"/>
      <c r="K74" s="343"/>
      <c r="L74" s="343"/>
      <c r="M74" s="343"/>
      <c r="N74" s="35" t="s">
        <v>55</v>
      </c>
    </row>
    <row r="75" spans="2:14" ht="17.55" customHeight="1" x14ac:dyDescent="0.3">
      <c r="B75" s="149"/>
      <c r="C75" s="328"/>
      <c r="D75" s="150"/>
      <c r="E75" s="334">
        <f>L66</f>
        <v>0</v>
      </c>
      <c r="F75" s="334"/>
      <c r="G75" s="334"/>
      <c r="H75" s="334"/>
      <c r="I75" s="334"/>
      <c r="J75" s="334"/>
      <c r="K75" s="334"/>
      <c r="L75" s="334"/>
      <c r="M75" s="334"/>
      <c r="N75" s="335"/>
    </row>
    <row r="76" spans="2:14" ht="17.55" hidden="1" customHeight="1" x14ac:dyDescent="0.3"/>
    <row r="77" spans="2:14" ht="17.55" hidden="1" customHeight="1" x14ac:dyDescent="0.3"/>
    <row r="78" spans="2:14" ht="17.55" hidden="1" customHeight="1" x14ac:dyDescent="0.3"/>
    <row r="79" spans="2:14" ht="17.55" hidden="1" customHeight="1" x14ac:dyDescent="0.3"/>
    <row r="80" spans="2:14" ht="17.55" hidden="1" customHeight="1" x14ac:dyDescent="0.3"/>
    <row r="81" ht="17.55" hidden="1" customHeight="1" x14ac:dyDescent="0.3"/>
    <row r="82" ht="17.55" hidden="1" customHeight="1" x14ac:dyDescent="0.3"/>
    <row r="83" ht="17.55" hidden="1" customHeight="1" x14ac:dyDescent="0.3"/>
    <row r="84" ht="17.55" hidden="1" customHeight="1" x14ac:dyDescent="0.3"/>
    <row r="85" ht="17.55" hidden="1" customHeight="1" x14ac:dyDescent="0.3"/>
    <row r="86" ht="17.55" hidden="1" customHeight="1" x14ac:dyDescent="0.3"/>
    <row r="87" ht="17.55" hidden="1" customHeight="1" x14ac:dyDescent="0.3"/>
    <row r="88" ht="17.55" hidden="1" customHeight="1" x14ac:dyDescent="0.3"/>
    <row r="89" ht="17.55" hidden="1" customHeight="1" x14ac:dyDescent="0.3"/>
    <row r="90" ht="17.55" hidden="1" customHeight="1" x14ac:dyDescent="0.3"/>
    <row r="91" ht="17.55" hidden="1" customHeight="1" x14ac:dyDescent="0.3"/>
    <row r="92" ht="17.55" hidden="1" customHeight="1" x14ac:dyDescent="0.3"/>
    <row r="93" ht="17.55" hidden="1" customHeight="1" x14ac:dyDescent="0.3"/>
    <row r="94" ht="17.55" hidden="1" customHeight="1" x14ac:dyDescent="0.3"/>
    <row r="95" ht="17.55" hidden="1" customHeight="1" x14ac:dyDescent="0.3"/>
    <row r="96" ht="17.55" hidden="1" customHeight="1" x14ac:dyDescent="0.3"/>
    <row r="97" ht="17.55" hidden="1" customHeight="1" x14ac:dyDescent="0.3"/>
    <row r="98" ht="17.55" hidden="1" customHeight="1" x14ac:dyDescent="0.3"/>
  </sheetData>
  <sheetProtection algorithmName="SHA-256" hashValue="yckD6TynruK5VbzDGegkuVhIZ8zXvCrCeg1JJ6HDxjU=" saltValue="9ltNyfBakuCLiv+JITD4Jg==" spinCount="100000" sheet="1" selectLockedCells="1"/>
  <mergeCells count="55">
    <mergeCell ref="C2:N2"/>
    <mergeCell ref="E4:H4"/>
    <mergeCell ref="J4:L4"/>
    <mergeCell ref="C6:C7"/>
    <mergeCell ref="E6:E7"/>
    <mergeCell ref="G6:G7"/>
    <mergeCell ref="I6:K6"/>
    <mergeCell ref="J34:L34"/>
    <mergeCell ref="G16:L16"/>
    <mergeCell ref="C18:C19"/>
    <mergeCell ref="E18:E19"/>
    <mergeCell ref="G18:G19"/>
    <mergeCell ref="I18:K18"/>
    <mergeCell ref="G28:L28"/>
    <mergeCell ref="C30:C31"/>
    <mergeCell ref="E30:E31"/>
    <mergeCell ref="G30:G31"/>
    <mergeCell ref="I30:K30"/>
    <mergeCell ref="J33:L33"/>
    <mergeCell ref="J50:K50"/>
    <mergeCell ref="G35:L35"/>
    <mergeCell ref="C37:C38"/>
    <mergeCell ref="E37:E38"/>
    <mergeCell ref="G37:G38"/>
    <mergeCell ref="I37:K37"/>
    <mergeCell ref="J42:K42"/>
    <mergeCell ref="G43:L43"/>
    <mergeCell ref="C45:C46"/>
    <mergeCell ref="E45:E46"/>
    <mergeCell ref="G45:G46"/>
    <mergeCell ref="I45:K45"/>
    <mergeCell ref="D64:E64"/>
    <mergeCell ref="G51:L51"/>
    <mergeCell ref="C53:C54"/>
    <mergeCell ref="E53:E54"/>
    <mergeCell ref="G53:G54"/>
    <mergeCell ref="I53:K53"/>
    <mergeCell ref="G58:L58"/>
    <mergeCell ref="C60:C61"/>
    <mergeCell ref="D60:G61"/>
    <mergeCell ref="L60:M61"/>
    <mergeCell ref="D62:E62"/>
    <mergeCell ref="D63:E63"/>
    <mergeCell ref="D65:E65"/>
    <mergeCell ref="D66:E66"/>
    <mergeCell ref="C68:N69"/>
    <mergeCell ref="C70:C71"/>
    <mergeCell ref="F70:M70"/>
    <mergeCell ref="E71:N71"/>
    <mergeCell ref="C72:C73"/>
    <mergeCell ref="F72:M72"/>
    <mergeCell ref="E73:N73"/>
    <mergeCell ref="C74:C75"/>
    <mergeCell ref="F74:M74"/>
    <mergeCell ref="E75:N75"/>
  </mergeCells>
  <conditionalFormatting sqref="E71:N71">
    <cfRule type="dataBar" priority="10">
      <dataBar>
        <cfvo type="num" val="0"/>
        <cfvo type="num" val="25000"/>
        <color rgb="FF638EC6"/>
      </dataBar>
      <extLst>
        <ext xmlns:x14="http://schemas.microsoft.com/office/spreadsheetml/2009/9/main" uri="{B025F937-C7B1-47D3-B67F-A62EFF666E3E}">
          <x14:id>{46621C47-0491-4CE1-BA16-C011BA505E8D}</x14:id>
        </ext>
      </extLst>
    </cfRule>
  </conditionalFormatting>
  <conditionalFormatting sqref="E73:N73">
    <cfRule type="dataBar" priority="9">
      <dataBar>
        <cfvo type="num" val="0"/>
        <cfvo type="num" val="100000"/>
        <color rgb="FF638EC6"/>
      </dataBar>
      <extLst>
        <ext xmlns:x14="http://schemas.microsoft.com/office/spreadsheetml/2009/9/main" uri="{B025F937-C7B1-47D3-B67F-A62EFF666E3E}">
          <x14:id>{B46AEC80-F7C4-4303-90E8-A4B8FCBEF824}</x14:id>
        </ext>
      </extLst>
    </cfRule>
  </conditionalFormatting>
  <conditionalFormatting sqref="E75:N75">
    <cfRule type="dataBar" priority="8">
      <dataBar>
        <cfvo type="num" val="0"/>
        <cfvo type="num" val="100000"/>
        <color rgb="FF638EC6"/>
      </dataBar>
      <extLst>
        <ext xmlns:x14="http://schemas.microsoft.com/office/spreadsheetml/2009/9/main" uri="{B025F937-C7B1-47D3-B67F-A62EFF666E3E}">
          <x14:id>{CA251556-7E55-4818-8AF6-6B0C7D3C945D}</x14:id>
        </ext>
      </extLst>
    </cfRule>
  </conditionalFormatting>
  <conditionalFormatting sqref="G64:I64 G62:G63">
    <cfRule type="dataBar" priority="12">
      <dataBar>
        <cfvo type="min"/>
        <cfvo type="max"/>
        <color rgb="FF638EC6"/>
      </dataBar>
      <extLst>
        <ext xmlns:x14="http://schemas.microsoft.com/office/spreadsheetml/2009/9/main" uri="{B025F937-C7B1-47D3-B67F-A62EFF666E3E}">
          <x14:id>{62051158-3A57-4F67-B2A8-38EA94296E29}</x14:id>
        </ext>
      </extLst>
    </cfRule>
  </conditionalFormatting>
  <conditionalFormatting sqref="G21:N27">
    <cfRule type="cellIs" dxfId="28" priority="7" operator="equal">
      <formula>0</formula>
    </cfRule>
  </conditionalFormatting>
  <conditionalFormatting sqref="H40:N42">
    <cfRule type="cellIs" dxfId="27" priority="6" operator="equal">
      <formula>0</formula>
    </cfRule>
  </conditionalFormatting>
  <conditionalFormatting sqref="H48:N50">
    <cfRule type="cellIs" dxfId="26" priority="5" operator="equal">
      <formula>0</formula>
    </cfRule>
  </conditionalFormatting>
  <conditionalFormatting sqref="I33:I34 I41">
    <cfRule type="cellIs" dxfId="25" priority="17" operator="equal">
      <formula>0.64</formula>
    </cfRule>
  </conditionalFormatting>
  <conditionalFormatting sqref="I33:J34 M33:N34 I41:M41 C65">
    <cfRule type="cellIs" dxfId="24" priority="16" operator="equal">
      <formula>0</formula>
    </cfRule>
  </conditionalFormatting>
  <conditionalFormatting sqref="I49:M49">
    <cfRule type="aboveAverage" dxfId="23" priority="14"/>
  </conditionalFormatting>
  <conditionalFormatting sqref="I9:N15">
    <cfRule type="cellIs" dxfId="22" priority="11" operator="equal">
      <formula>0</formula>
    </cfRule>
  </conditionalFormatting>
  <conditionalFormatting sqref="I40:N40 N41:N42 J42 L42:M42">
    <cfRule type="cellIs" dxfId="21" priority="15" operator="equal">
      <formula>0</formula>
    </cfRule>
  </conditionalFormatting>
  <conditionalFormatting sqref="I48:N48 N49:N50 J50 L50:M50">
    <cfRule type="cellIs" dxfId="20" priority="13" operator="equal">
      <formula>0</formula>
    </cfRule>
  </conditionalFormatting>
  <conditionalFormatting sqref="L57 N57">
    <cfRule type="cellIs" dxfId="19" priority="1" operator="equal">
      <formula>0</formula>
    </cfRule>
  </conditionalFormatting>
  <conditionalFormatting sqref="M62:M64">
    <cfRule type="dataBar" priority="2">
      <dataBar>
        <cfvo type="min"/>
        <cfvo type="max"/>
        <color rgb="FF638EC6"/>
      </dataBar>
      <extLst>
        <ext xmlns:x14="http://schemas.microsoft.com/office/spreadsheetml/2009/9/main" uri="{B025F937-C7B1-47D3-B67F-A62EFF666E3E}">
          <x14:id>{83B137CC-FBC5-4188-8E8E-6E10568E6EAF}</x14:id>
        </ext>
      </extLst>
    </cfRule>
  </conditionalFormatting>
  <conditionalFormatting sqref="N4">
    <cfRule type="expression" dxfId="18" priority="3">
      <formula>M4="No specific period"</formula>
    </cfRule>
    <cfRule type="cellIs" dxfId="17" priority="4" operator="equal">
      <formula>"# of days?"</formula>
    </cfRule>
  </conditionalFormatting>
  <dataValidations count="1">
    <dataValidation type="list" allowBlank="1" showInputMessage="1" showErrorMessage="1" sqref="M4" xr:uid="{00000000-0002-0000-0600-000000000000}">
      <formula1>$Q$3:$Q$4</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46621C47-0491-4CE1-BA16-C011BA505E8D}">
            <x14:dataBar minLength="0" maxLength="100" gradient="0">
              <x14:cfvo type="num">
                <xm:f>0</xm:f>
              </x14:cfvo>
              <x14:cfvo type="num">
                <xm:f>25000</xm:f>
              </x14:cfvo>
              <x14:negativeFillColor rgb="FFFF0000"/>
              <x14:axisColor rgb="FF000000"/>
            </x14:dataBar>
          </x14:cfRule>
          <xm:sqref>E71:N71</xm:sqref>
        </x14:conditionalFormatting>
        <x14:conditionalFormatting xmlns:xm="http://schemas.microsoft.com/office/excel/2006/main">
          <x14:cfRule type="dataBar" id="{B46AEC80-F7C4-4303-90E8-A4B8FCBEF824}">
            <x14:dataBar minLength="0" maxLength="100" gradient="0">
              <x14:cfvo type="num">
                <xm:f>0</xm:f>
              </x14:cfvo>
              <x14:cfvo type="num">
                <xm:f>100000</xm:f>
              </x14:cfvo>
              <x14:negativeFillColor rgb="FFFF0000"/>
              <x14:axisColor rgb="FF000000"/>
            </x14:dataBar>
          </x14:cfRule>
          <xm:sqref>E73:N73</xm:sqref>
        </x14:conditionalFormatting>
        <x14:conditionalFormatting xmlns:xm="http://schemas.microsoft.com/office/excel/2006/main">
          <x14:cfRule type="dataBar" id="{CA251556-7E55-4818-8AF6-6B0C7D3C945D}">
            <x14:dataBar minLength="0" maxLength="100" gradient="0">
              <x14:cfvo type="num">
                <xm:f>0</xm:f>
              </x14:cfvo>
              <x14:cfvo type="num">
                <xm:f>100000</xm:f>
              </x14:cfvo>
              <x14:negativeFillColor rgb="FFFF0000"/>
              <x14:axisColor rgb="FF000000"/>
            </x14:dataBar>
          </x14:cfRule>
          <xm:sqref>E75:N75</xm:sqref>
        </x14:conditionalFormatting>
        <x14:conditionalFormatting xmlns:xm="http://schemas.microsoft.com/office/excel/2006/main">
          <x14:cfRule type="dataBar" id="{62051158-3A57-4F67-B2A8-38EA94296E29}">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83B137CC-FBC5-4188-8E8E-6E10568E6EAF}">
            <x14:dataBar minLength="0" maxLength="100" border="1" negativeBarBorderColorSameAsPositive="0">
              <x14:cfvo type="autoMin"/>
              <x14:cfvo type="autoMax"/>
              <x14:borderColor rgb="FF638EC6"/>
              <x14:negativeFillColor rgb="FFFF0000"/>
              <x14:negativeBorderColor rgb="FFFF0000"/>
              <x14:axisColor rgb="FF000000"/>
            </x14:dataBar>
          </x14:cfRule>
          <xm:sqref>M62:M64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3000000}">
          <x14:formula1>
            <xm:f>'Calculation engine'!$Q$10:$Q$19</xm:f>
          </x14:formula1>
          <xm:sqref>C33:C34</xm:sqref>
        </x14:dataValidation>
        <x14:dataValidation type="list" allowBlank="1" showInputMessage="1" showErrorMessage="1" xr:uid="{00000000-0002-0000-0600-000005000000}">
          <x14:formula1>
            <xm:f>'Calculation engine'!$B$8:$B$35</xm:f>
          </x14:formula1>
          <xm:sqref>C9:C15</xm:sqref>
        </x14:dataValidation>
        <x14:dataValidation type="list" allowBlank="1" showInputMessage="1" showErrorMessage="1" xr:uid="{00000000-0002-0000-0600-000004000000}">
          <x14:formula1>
            <xm:f>'Calculation engine'!$I$8:$I$68</xm:f>
          </x14:formula1>
          <xm:sqref>C21:C27</xm:sqref>
        </x14:dataValidation>
        <x14:dataValidation type="list" allowBlank="1" showInputMessage="1" showErrorMessage="1" xr:uid="{00000000-0002-0000-0600-000001000000}">
          <x14:formula1>
            <xm:f>'Calculation engine'!$W$8:$W$78</xm:f>
          </x14:formula1>
          <xm:sqref>C48:C50</xm:sqref>
        </x14:dataValidation>
        <x14:dataValidation type="list" allowBlank="1" showInputMessage="1" showErrorMessage="1" xr:uid="{00000000-0002-0000-0600-000002000000}">
          <x14:formula1>
            <xm:f>'Calculation engine'!$AD$8:$AD$84</xm:f>
          </x14:formula1>
          <xm:sqref>C40:C42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C75"/>
  <sheetViews>
    <sheetView showRowColHeaders="0" zoomScaleNormal="100" workbookViewId="0"/>
  </sheetViews>
  <sheetFormatPr defaultColWidth="0" defaultRowHeight="14.4" zeroHeight="1" x14ac:dyDescent="0.3"/>
  <cols>
    <col min="1" max="2" width="4" style="2" customWidth="1"/>
    <col min="3" max="3" width="67.5546875" style="2" customWidth="1"/>
    <col min="4" max="4" width="3.44140625" style="2" customWidth="1"/>
    <col min="5" max="5" width="19.5546875" style="2" customWidth="1"/>
    <col min="6" max="6" width="3.5546875" style="2" customWidth="1"/>
    <col min="7" max="7" width="9.21875" style="2" customWidth="1"/>
    <col min="8" max="8" width="10.5546875" style="2" customWidth="1"/>
    <col min="9" max="9" width="13.5546875" style="2" customWidth="1"/>
    <col min="10" max="10" width="12.21875" style="2" customWidth="1"/>
    <col min="11" max="11" width="11.77734375" style="2" customWidth="1"/>
    <col min="12" max="12" width="22.5546875" style="2" customWidth="1"/>
    <col min="13" max="13" width="23.77734375" style="2" customWidth="1"/>
    <col min="14" max="14" width="23.44140625" style="2" customWidth="1"/>
    <col min="15" max="15" width="4.5546875" style="2" hidden="1" customWidth="1"/>
    <col min="16" max="16" width="9.21875" style="2" hidden="1" customWidth="1"/>
    <col min="17" max="21" width="18.77734375" style="2" hidden="1" customWidth="1"/>
    <col min="22" max="22" width="18" style="2" hidden="1" customWidth="1"/>
    <col min="23" max="27" width="16.5546875" style="2" hidden="1" customWidth="1"/>
    <col min="28" max="28" width="7.44140625" style="2" hidden="1" customWidth="1"/>
    <col min="29" max="29" width="64.44140625" style="2" hidden="1" customWidth="1"/>
    <col min="30" max="30" width="14.44140625" style="2" hidden="1" customWidth="1"/>
    <col min="31" max="31" width="15.21875" style="2" hidden="1" customWidth="1"/>
    <col min="32" max="32" width="16.77734375" style="2" hidden="1" customWidth="1"/>
    <col min="33" max="33" width="12.44140625" style="2" hidden="1" customWidth="1"/>
    <col min="34" max="34" width="20.77734375" style="2" hidden="1" customWidth="1"/>
    <col min="35" max="36" width="3.5546875" style="2" hidden="1" customWidth="1"/>
    <col min="37" max="37" width="32.44140625" style="2" hidden="1" customWidth="1"/>
    <col min="38" max="40" width="9.21875" style="2" hidden="1" customWidth="1"/>
    <col min="41" max="41" width="4.44140625" style="2" hidden="1" customWidth="1"/>
    <col min="42" max="42" width="2.77734375" style="2" hidden="1" customWidth="1"/>
    <col min="43" max="43" width="40.44140625" style="2" hidden="1" customWidth="1"/>
    <col min="44" max="48" width="9.21875" style="2" hidden="1" customWidth="1"/>
    <col min="49" max="49" width="5.5546875" style="2" hidden="1" customWidth="1"/>
    <col min="50" max="50" width="46.5546875" style="2" hidden="1" customWidth="1"/>
    <col min="51" max="16384" width="9.21875" style="2" hidden="1"/>
  </cols>
  <sheetData>
    <row r="1" spans="1:14" ht="147.75" customHeight="1" x14ac:dyDescent="0.3">
      <c r="B1" s="363"/>
      <c r="C1" s="363"/>
      <c r="D1" s="363"/>
      <c r="E1" s="363"/>
      <c r="F1" s="363"/>
      <c r="G1" s="363"/>
      <c r="H1" s="363"/>
      <c r="I1" s="363"/>
      <c r="J1" s="363"/>
      <c r="K1" s="363"/>
      <c r="L1" s="363"/>
      <c r="M1" s="363"/>
      <c r="N1" s="363"/>
    </row>
    <row r="2" spans="1:14" ht="33" customHeight="1" x14ac:dyDescent="0.3">
      <c r="A2" s="64"/>
      <c r="B2" s="356" t="s">
        <v>360</v>
      </c>
      <c r="C2" s="357"/>
      <c r="D2" s="357"/>
      <c r="E2" s="357"/>
      <c r="F2" s="357"/>
      <c r="G2" s="357"/>
      <c r="H2" s="357"/>
      <c r="I2" s="357"/>
      <c r="J2" s="357"/>
      <c r="K2" s="357"/>
      <c r="L2" s="351"/>
      <c r="M2" s="351"/>
      <c r="N2" s="174">
        <v>365</v>
      </c>
    </row>
    <row r="3" spans="1:14" ht="15" customHeight="1" x14ac:dyDescent="0.3">
      <c r="B3" s="151"/>
      <c r="C3" s="151"/>
      <c r="D3" s="151"/>
      <c r="E3" s="151"/>
      <c r="F3" s="151"/>
      <c r="G3" s="151"/>
      <c r="H3" s="151"/>
      <c r="I3" s="151"/>
      <c r="J3" s="151"/>
      <c r="K3" s="151"/>
      <c r="L3" s="151"/>
      <c r="M3" s="151"/>
      <c r="N3" s="151"/>
    </row>
    <row r="4" spans="1:14" ht="33" customHeight="1" x14ac:dyDescent="0.3">
      <c r="B4" s="175"/>
      <c r="C4" s="176" t="s">
        <v>361</v>
      </c>
      <c r="D4" s="207"/>
      <c r="E4" s="202" t="s">
        <v>57</v>
      </c>
      <c r="F4" s="207"/>
      <c r="G4" s="315" t="s">
        <v>58</v>
      </c>
      <c r="H4" s="353"/>
      <c r="I4" s="207"/>
      <c r="J4" s="315" t="s">
        <v>45</v>
      </c>
      <c r="K4" s="353"/>
      <c r="L4" s="202" t="s">
        <v>59</v>
      </c>
      <c r="M4" s="202" t="s">
        <v>60</v>
      </c>
      <c r="N4" s="63" t="s">
        <v>61</v>
      </c>
    </row>
    <row r="5" spans="1:14" ht="15" customHeight="1" x14ac:dyDescent="0.3">
      <c r="B5" s="177"/>
      <c r="C5" s="201" t="s">
        <v>62</v>
      </c>
      <c r="D5" s="178"/>
      <c r="E5" s="263">
        <f>'Facility 1'!$D$62</f>
        <v>0</v>
      </c>
      <c r="F5" s="231"/>
      <c r="G5" s="344">
        <f>'Facility 1'!$M$35</f>
        <v>0</v>
      </c>
      <c r="H5" s="345"/>
      <c r="I5" s="232"/>
      <c r="J5" s="346">
        <f>E5+G5</f>
        <v>0</v>
      </c>
      <c r="K5" s="347"/>
      <c r="L5" s="233">
        <f>'Facility 1'!$D$65</f>
        <v>0</v>
      </c>
      <c r="M5" s="234">
        <f>'Facility 1'!$D$66</f>
        <v>0</v>
      </c>
      <c r="N5" s="62">
        <f>IF('Facility 1'!$M$4="Full year",$N$2,'Facility 1'!$N$4)</f>
        <v>365</v>
      </c>
    </row>
    <row r="6" spans="1:14" ht="15" customHeight="1" x14ac:dyDescent="0.3">
      <c r="B6" s="177"/>
      <c r="C6" s="201" t="s">
        <v>63</v>
      </c>
      <c r="D6" s="179"/>
      <c r="E6" s="263">
        <f>'Facility 2'!$D$62</f>
        <v>0</v>
      </c>
      <c r="F6" s="235"/>
      <c r="G6" s="344">
        <f>'Facility 2'!$M$35</f>
        <v>0</v>
      </c>
      <c r="H6" s="345"/>
      <c r="I6" s="236"/>
      <c r="J6" s="346">
        <f t="shared" ref="J6:J10" si="0">E6+G6</f>
        <v>0</v>
      </c>
      <c r="K6" s="347"/>
      <c r="L6" s="233">
        <f>'Facility 2'!$D$65</f>
        <v>0</v>
      </c>
      <c r="M6" s="234">
        <f>'Facility 2'!$D$66</f>
        <v>0</v>
      </c>
      <c r="N6" s="62">
        <f>IF('Facility 2'!$M$4="Full year",$N$2,'Facility 2'!$N$4)</f>
        <v>365</v>
      </c>
    </row>
    <row r="7" spans="1:14" ht="15" customHeight="1" x14ac:dyDescent="0.3">
      <c r="B7" s="177"/>
      <c r="C7" s="201" t="s">
        <v>64</v>
      </c>
      <c r="D7" s="179"/>
      <c r="E7" s="263">
        <f>'Facility 3'!$D$62</f>
        <v>0</v>
      </c>
      <c r="F7" s="235"/>
      <c r="G7" s="344">
        <f>'Facility 3'!$M$35</f>
        <v>0</v>
      </c>
      <c r="H7" s="345"/>
      <c r="I7" s="236"/>
      <c r="J7" s="346">
        <f t="shared" si="0"/>
        <v>0</v>
      </c>
      <c r="K7" s="347"/>
      <c r="L7" s="233">
        <f>'Facility 3'!$D$65</f>
        <v>0</v>
      </c>
      <c r="M7" s="234">
        <f>'Facility 3'!$D$66</f>
        <v>0</v>
      </c>
      <c r="N7" s="62">
        <f>IF('Facility 3'!$M$4="Full year",$N$2,'Facility 3'!$N$4)</f>
        <v>365</v>
      </c>
    </row>
    <row r="8" spans="1:14" ht="15" customHeight="1" x14ac:dyDescent="0.3">
      <c r="B8" s="177"/>
      <c r="C8" s="201" t="s">
        <v>65</v>
      </c>
      <c r="D8" s="179"/>
      <c r="E8" s="263">
        <f>'Facility 4'!$D$62</f>
        <v>0</v>
      </c>
      <c r="F8" s="235"/>
      <c r="G8" s="344">
        <f>'Facility 4'!$M$35</f>
        <v>0</v>
      </c>
      <c r="H8" s="345"/>
      <c r="I8" s="236"/>
      <c r="J8" s="346">
        <f t="shared" si="0"/>
        <v>0</v>
      </c>
      <c r="K8" s="347"/>
      <c r="L8" s="233">
        <f>'Facility 4'!$D$65</f>
        <v>0</v>
      </c>
      <c r="M8" s="234">
        <f>'Facility 4'!$D$66</f>
        <v>0</v>
      </c>
      <c r="N8" s="62">
        <f>IF('Facility 4'!$M$4="Full year",$N$2,'Facility 4'!$N$4)</f>
        <v>365</v>
      </c>
    </row>
    <row r="9" spans="1:14" ht="15" customHeight="1" x14ac:dyDescent="0.3">
      <c r="B9" s="153"/>
      <c r="C9" s="201" t="s">
        <v>66</v>
      </c>
      <c r="D9" s="179"/>
      <c r="E9" s="263">
        <f>'Facility 5'!$D$62</f>
        <v>0</v>
      </c>
      <c r="F9" s="235"/>
      <c r="G9" s="344">
        <f>'Facility 5'!$M$35</f>
        <v>0</v>
      </c>
      <c r="H9" s="345"/>
      <c r="I9" s="236"/>
      <c r="J9" s="346">
        <f t="shared" si="0"/>
        <v>0</v>
      </c>
      <c r="K9" s="347"/>
      <c r="L9" s="233">
        <f>'Facility 5'!$D$65</f>
        <v>0</v>
      </c>
      <c r="M9" s="234">
        <f>'Facility 5'!$D$66</f>
        <v>0</v>
      </c>
      <c r="N9" s="62">
        <f>IF('Facility 5'!$M$4="Full year",$N$2,'Facility 5'!$N$4)</f>
        <v>365</v>
      </c>
    </row>
    <row r="10" spans="1:14" ht="15" customHeight="1" x14ac:dyDescent="0.3">
      <c r="B10" s="153"/>
      <c r="C10" s="201" t="s">
        <v>67</v>
      </c>
      <c r="D10" s="180"/>
      <c r="E10" s="263">
        <f>'Facility 6'!$D$62</f>
        <v>0</v>
      </c>
      <c r="F10" s="237"/>
      <c r="G10" s="344">
        <f>'Facility 6'!$M$35</f>
        <v>0</v>
      </c>
      <c r="H10" s="345"/>
      <c r="I10" s="238"/>
      <c r="J10" s="346">
        <f t="shared" si="0"/>
        <v>0</v>
      </c>
      <c r="K10" s="347"/>
      <c r="L10" s="233">
        <f>'Facility 6'!$D$65</f>
        <v>0</v>
      </c>
      <c r="M10" s="234">
        <f>'Facility 6'!$D$66</f>
        <v>0</v>
      </c>
      <c r="N10" s="62">
        <f>IF('Facility 6'!$M$4="Full year",$N$2,'Facility 6'!$N$4)</f>
        <v>365</v>
      </c>
    </row>
    <row r="11" spans="1:14" ht="15" customHeight="1" x14ac:dyDescent="0.3">
      <c r="B11" s="153"/>
      <c r="C11" s="168"/>
      <c r="D11" s="26"/>
      <c r="E11" s="26"/>
      <c r="F11" s="26"/>
      <c r="G11" s="201"/>
      <c r="H11" s="201"/>
      <c r="I11" s="26"/>
      <c r="J11" s="67"/>
      <c r="K11" s="67"/>
      <c r="L11" s="26"/>
      <c r="M11" s="26"/>
      <c r="N11" s="169"/>
    </row>
    <row r="12" spans="1:14" ht="15" customHeight="1" x14ac:dyDescent="0.3">
      <c r="B12" s="181"/>
      <c r="C12" s="168" t="s">
        <v>68</v>
      </c>
      <c r="D12" s="170"/>
      <c r="E12" s="264">
        <f>SUM(E5:E10)</f>
        <v>0</v>
      </c>
      <c r="F12" s="239"/>
      <c r="G12" s="344">
        <f>SUM(G5:H10)</f>
        <v>0</v>
      </c>
      <c r="H12" s="345"/>
      <c r="I12" s="240"/>
      <c r="J12" s="364">
        <f>SUM(J5:K10)</f>
        <v>0</v>
      </c>
      <c r="K12" s="360"/>
      <c r="L12" s="241">
        <f>SUM(L5:L10)</f>
        <v>0</v>
      </c>
      <c r="M12" s="242">
        <f>SUM(M5:M10)</f>
        <v>0</v>
      </c>
      <c r="N12" s="171"/>
    </row>
    <row r="13" spans="1:14" ht="31.8" customHeight="1" x14ac:dyDescent="0.3">
      <c r="B13" s="177"/>
      <c r="C13" s="172"/>
      <c r="D13" s="37"/>
      <c r="E13" s="38"/>
      <c r="F13" s="37"/>
      <c r="G13" s="39"/>
      <c r="H13" s="40"/>
      <c r="I13" s="37"/>
      <c r="J13" s="41"/>
      <c r="K13" s="42"/>
      <c r="L13" s="43"/>
      <c r="M13" s="43"/>
      <c r="N13" s="44"/>
    </row>
    <row r="14" spans="1:14" ht="15" customHeight="1" x14ac:dyDescent="0.3">
      <c r="B14" s="182"/>
      <c r="C14" s="151"/>
      <c r="D14" s="151"/>
      <c r="E14" s="151"/>
      <c r="F14" s="151"/>
      <c r="G14" s="151"/>
      <c r="H14" s="151"/>
      <c r="I14" s="151"/>
      <c r="J14" s="151"/>
      <c r="K14" s="151"/>
      <c r="L14" s="151"/>
      <c r="M14" s="151"/>
      <c r="N14" s="151"/>
    </row>
    <row r="15" spans="1:14" ht="30.3" customHeight="1" x14ac:dyDescent="0.3">
      <c r="B15" s="177"/>
      <c r="C15" s="176" t="s">
        <v>362</v>
      </c>
      <c r="D15" s="207"/>
      <c r="E15" s="202" t="s">
        <v>57</v>
      </c>
      <c r="F15" s="207"/>
      <c r="G15" s="315" t="s">
        <v>58</v>
      </c>
      <c r="H15" s="353"/>
      <c r="I15" s="207"/>
      <c r="J15" s="315" t="s">
        <v>45</v>
      </c>
      <c r="K15" s="353"/>
      <c r="L15" s="202" t="s">
        <v>59</v>
      </c>
      <c r="M15" s="202" t="s">
        <v>60</v>
      </c>
      <c r="N15" s="183"/>
    </row>
    <row r="16" spans="1:14" ht="15" customHeight="1" x14ac:dyDescent="0.3">
      <c r="B16" s="177"/>
      <c r="C16" s="201" t="s">
        <v>62</v>
      </c>
      <c r="D16" s="178"/>
      <c r="E16" s="263">
        <f>'Facility 1'!$L$62</f>
        <v>0</v>
      </c>
      <c r="F16" s="231"/>
      <c r="G16" s="344">
        <f>'Facility 1'!$L$63</f>
        <v>0</v>
      </c>
      <c r="H16" s="345"/>
      <c r="I16" s="232"/>
      <c r="J16" s="346">
        <f>E16+G16</f>
        <v>0</v>
      </c>
      <c r="K16" s="347"/>
      <c r="L16" s="233">
        <f>'Facility 1'!$L$65</f>
        <v>0</v>
      </c>
      <c r="M16" s="233">
        <f>'Facility 1'!$L$66</f>
        <v>0</v>
      </c>
      <c r="N16" s="184"/>
    </row>
    <row r="17" spans="2:55" ht="15" customHeight="1" x14ac:dyDescent="0.3">
      <c r="B17" s="177"/>
      <c r="C17" s="201" t="s">
        <v>63</v>
      </c>
      <c r="D17" s="179"/>
      <c r="E17" s="263">
        <f>'Facility 2'!$L$62</f>
        <v>0</v>
      </c>
      <c r="F17" s="235"/>
      <c r="G17" s="344">
        <f>'Facility 2'!$L$63</f>
        <v>0</v>
      </c>
      <c r="H17" s="345"/>
      <c r="I17" s="236"/>
      <c r="J17" s="346">
        <f t="shared" ref="J17:J21" si="1">E17+G17</f>
        <v>0</v>
      </c>
      <c r="K17" s="347"/>
      <c r="L17" s="233">
        <f>'Facility 2'!$L$65</f>
        <v>0</v>
      </c>
      <c r="M17" s="233">
        <f>'Facility 2'!$L$66</f>
        <v>0</v>
      </c>
      <c r="N17" s="184"/>
    </row>
    <row r="18" spans="2:55" ht="15" customHeight="1" x14ac:dyDescent="0.3">
      <c r="B18" s="153"/>
      <c r="C18" s="201" t="s">
        <v>64</v>
      </c>
      <c r="D18" s="179"/>
      <c r="E18" s="263">
        <f>'Facility 3'!$L$62</f>
        <v>0</v>
      </c>
      <c r="F18" s="235"/>
      <c r="G18" s="344">
        <f>'Facility 3'!$L$63</f>
        <v>0</v>
      </c>
      <c r="H18" s="345"/>
      <c r="I18" s="236"/>
      <c r="J18" s="346">
        <f t="shared" si="1"/>
        <v>0</v>
      </c>
      <c r="K18" s="347"/>
      <c r="L18" s="233">
        <f>'Facility 3'!$L$65</f>
        <v>0</v>
      </c>
      <c r="M18" s="233">
        <f>'Facility 3'!$L$66</f>
        <v>0</v>
      </c>
      <c r="N18" s="184"/>
    </row>
    <row r="19" spans="2:55" ht="15" customHeight="1" x14ac:dyDescent="0.3">
      <c r="B19" s="153"/>
      <c r="C19" s="201" t="s">
        <v>65</v>
      </c>
      <c r="D19" s="179"/>
      <c r="E19" s="263">
        <f>'Facility 4'!$L$62</f>
        <v>0</v>
      </c>
      <c r="F19" s="235"/>
      <c r="G19" s="344">
        <f>'Facility 4'!$L$63</f>
        <v>0</v>
      </c>
      <c r="H19" s="345"/>
      <c r="I19" s="236"/>
      <c r="J19" s="346">
        <f t="shared" si="1"/>
        <v>0</v>
      </c>
      <c r="K19" s="347"/>
      <c r="L19" s="233">
        <f>'Facility 4'!$L$65</f>
        <v>0</v>
      </c>
      <c r="M19" s="233">
        <f>'Facility 4'!$L$66</f>
        <v>0</v>
      </c>
      <c r="N19" s="184"/>
    </row>
    <row r="20" spans="2:55" ht="15" customHeight="1" x14ac:dyDescent="0.3">
      <c r="B20" s="153"/>
      <c r="C20" s="201" t="s">
        <v>66</v>
      </c>
      <c r="D20" s="179"/>
      <c r="E20" s="263">
        <f>'Facility 5'!$L$62</f>
        <v>0</v>
      </c>
      <c r="F20" s="235"/>
      <c r="G20" s="344">
        <f>'Facility 5'!$L$63</f>
        <v>0</v>
      </c>
      <c r="H20" s="345"/>
      <c r="I20" s="236"/>
      <c r="J20" s="346">
        <f t="shared" si="1"/>
        <v>0</v>
      </c>
      <c r="K20" s="347"/>
      <c r="L20" s="233">
        <f>'Facility 5'!$L$65</f>
        <v>0</v>
      </c>
      <c r="M20" s="233">
        <f>'Facility 5'!$L$66</f>
        <v>0</v>
      </c>
      <c r="N20" s="184"/>
    </row>
    <row r="21" spans="2:55" ht="15" customHeight="1" x14ac:dyDescent="0.3">
      <c r="B21" s="26"/>
      <c r="C21" s="201" t="s">
        <v>67</v>
      </c>
      <c r="D21" s="180"/>
      <c r="E21" s="263">
        <f>'Facility 6'!$L$62</f>
        <v>0</v>
      </c>
      <c r="F21" s="237"/>
      <c r="G21" s="344">
        <f>'Facility 6'!$L$63</f>
        <v>0</v>
      </c>
      <c r="H21" s="345"/>
      <c r="I21" s="238"/>
      <c r="J21" s="346">
        <f t="shared" si="1"/>
        <v>0</v>
      </c>
      <c r="K21" s="347"/>
      <c r="L21" s="233">
        <f>'Facility 6'!$L$65</f>
        <v>0</v>
      </c>
      <c r="M21" s="233">
        <f>'Facility 6'!$L$66</f>
        <v>0</v>
      </c>
      <c r="N21" s="184"/>
    </row>
    <row r="22" spans="2:55" ht="15" customHeight="1" x14ac:dyDescent="0.3">
      <c r="B22" s="181"/>
      <c r="C22" s="168"/>
      <c r="D22" s="26"/>
      <c r="E22" s="26"/>
      <c r="F22" s="26"/>
      <c r="G22" s="201"/>
      <c r="H22" s="201"/>
      <c r="I22" s="26"/>
      <c r="J22" s="67"/>
      <c r="K22" s="67"/>
      <c r="L22" s="26"/>
      <c r="M22" s="26"/>
      <c r="N22" s="36"/>
    </row>
    <row r="23" spans="2:55" ht="15" customHeight="1" x14ac:dyDescent="0.3">
      <c r="B23" s="181"/>
      <c r="C23" s="168" t="s">
        <v>69</v>
      </c>
      <c r="D23" s="173"/>
      <c r="E23" s="265">
        <f>SUM(E16:E21)</f>
        <v>0</v>
      </c>
      <c r="F23" s="243"/>
      <c r="G23" s="361">
        <f>SUM(G16:H21)</f>
        <v>0</v>
      </c>
      <c r="H23" s="362"/>
      <c r="I23" s="244"/>
      <c r="J23" s="360">
        <f>SUM(J16:K21)</f>
        <v>0</v>
      </c>
      <c r="K23" s="360"/>
      <c r="L23" s="241">
        <f>SUM(L16:L21)</f>
        <v>0</v>
      </c>
      <c r="M23" s="241">
        <f>SUM(M16:M21)</f>
        <v>0</v>
      </c>
      <c r="N23" s="36"/>
      <c r="Q23" s="9"/>
      <c r="R23" s="9"/>
      <c r="S23" s="9"/>
      <c r="T23" s="9"/>
      <c r="U23" s="9"/>
      <c r="V23" s="9"/>
    </row>
    <row r="24" spans="2:55" ht="15" customHeight="1" x14ac:dyDescent="0.3">
      <c r="B24" s="181"/>
      <c r="C24" s="172"/>
      <c r="D24" s="37"/>
      <c r="E24" s="38"/>
      <c r="F24" s="37"/>
      <c r="G24" s="39"/>
      <c r="H24" s="40"/>
      <c r="I24" s="37"/>
      <c r="J24" s="41"/>
      <c r="K24" s="42"/>
      <c r="L24" s="43"/>
      <c r="M24" s="43"/>
      <c r="N24" s="44"/>
      <c r="Q24" s="9"/>
      <c r="R24" s="9"/>
      <c r="S24" s="9"/>
      <c r="T24" s="9"/>
      <c r="U24" s="9"/>
      <c r="V24" s="9"/>
    </row>
    <row r="25" spans="2:55" ht="15" customHeight="1" x14ac:dyDescent="0.3">
      <c r="B25" s="185"/>
      <c r="C25" s="139"/>
      <c r="E25" s="22"/>
      <c r="G25" s="21"/>
      <c r="H25" s="20"/>
      <c r="J25" s="11"/>
      <c r="K25" s="23"/>
      <c r="L25" s="24"/>
      <c r="M25" s="24"/>
      <c r="Q25" s="9"/>
      <c r="R25" s="9"/>
      <c r="S25" s="9"/>
      <c r="T25" s="9"/>
      <c r="U25" s="9"/>
      <c r="V25" s="9"/>
    </row>
    <row r="26" spans="2:55" ht="30.3" customHeight="1" x14ac:dyDescent="0.3">
      <c r="B26" s="181"/>
      <c r="C26" s="204" t="s">
        <v>363</v>
      </c>
      <c r="D26" s="181"/>
      <c r="E26" s="201"/>
      <c r="F26" s="181"/>
      <c r="G26" s="316"/>
      <c r="H26" s="321"/>
      <c r="I26" s="181"/>
      <c r="J26" s="352" t="s">
        <v>70</v>
      </c>
      <c r="K26" s="321"/>
      <c r="L26" s="209" t="s">
        <v>71</v>
      </c>
      <c r="M26" s="209" t="s">
        <v>72</v>
      </c>
      <c r="N26" s="181"/>
      <c r="Q26" s="9"/>
      <c r="R26" s="9"/>
      <c r="S26" s="9"/>
      <c r="T26" s="9"/>
      <c r="U26" s="9"/>
      <c r="V26" s="9"/>
    </row>
    <row r="27" spans="2:55" ht="15" customHeight="1" x14ac:dyDescent="0.3">
      <c r="B27" s="26"/>
      <c r="C27" s="201" t="s">
        <v>62</v>
      </c>
      <c r="D27" s="181"/>
      <c r="E27" s="206"/>
      <c r="F27" s="201"/>
      <c r="G27" s="350"/>
      <c r="H27" s="316"/>
      <c r="I27" s="201"/>
      <c r="J27" s="348" t="str">
        <f t="shared" ref="J27:J32" si="2">IF(J16&gt;=25000,"Threshold met","Not met")</f>
        <v>Not met</v>
      </c>
      <c r="K27" s="349"/>
      <c r="L27" s="208" t="str">
        <f t="shared" ref="L27:M29" si="3">IF(L16&gt;=100000,"Threshold met","Not met")</f>
        <v>Not met</v>
      </c>
      <c r="M27" s="208" t="str">
        <f t="shared" si="3"/>
        <v>Not met</v>
      </c>
      <c r="N27" s="181"/>
      <c r="Q27" s="9"/>
      <c r="R27" s="9"/>
      <c r="S27" s="9"/>
      <c r="T27" s="9"/>
      <c r="U27" s="9"/>
      <c r="V27" s="9"/>
    </row>
    <row r="28" spans="2:55" ht="15" customHeight="1" x14ac:dyDescent="0.3">
      <c r="B28" s="26"/>
      <c r="C28" s="201" t="s">
        <v>63</v>
      </c>
      <c r="D28" s="181"/>
      <c r="E28" s="201"/>
      <c r="F28" s="201"/>
      <c r="G28" s="316"/>
      <c r="H28" s="316"/>
      <c r="I28" s="201"/>
      <c r="J28" s="348" t="str">
        <f t="shared" si="2"/>
        <v>Not met</v>
      </c>
      <c r="K28" s="349"/>
      <c r="L28" s="208" t="str">
        <f t="shared" si="3"/>
        <v>Not met</v>
      </c>
      <c r="M28" s="208" t="str">
        <f t="shared" si="3"/>
        <v>Not met</v>
      </c>
      <c r="N28" s="181"/>
      <c r="Q28" s="9"/>
      <c r="R28" s="9"/>
      <c r="S28" s="9"/>
      <c r="T28" s="9"/>
      <c r="U28" s="9"/>
      <c r="V28" s="9"/>
    </row>
    <row r="29" spans="2:55" ht="15" customHeight="1" x14ac:dyDescent="0.3">
      <c r="B29" s="26"/>
      <c r="C29" s="201" t="s">
        <v>64</v>
      </c>
      <c r="D29" s="181"/>
      <c r="E29" s="201"/>
      <c r="F29" s="201"/>
      <c r="G29" s="316"/>
      <c r="H29" s="316"/>
      <c r="I29" s="201"/>
      <c r="J29" s="348" t="str">
        <f t="shared" si="2"/>
        <v>Not met</v>
      </c>
      <c r="K29" s="349"/>
      <c r="L29" s="208" t="str">
        <f t="shared" si="3"/>
        <v>Not met</v>
      </c>
      <c r="M29" s="208" t="str">
        <f t="shared" si="3"/>
        <v>Not met</v>
      </c>
      <c r="N29" s="181"/>
      <c r="Q29" s="9"/>
      <c r="R29" s="9"/>
      <c r="S29" s="9"/>
      <c r="T29" s="9"/>
      <c r="U29" s="9"/>
      <c r="V29" s="9"/>
    </row>
    <row r="30" spans="2:55" ht="15" customHeight="1" x14ac:dyDescent="0.3">
      <c r="B30" s="67"/>
      <c r="C30" s="201" t="s">
        <v>65</v>
      </c>
      <c r="D30" s="181"/>
      <c r="E30" s="201"/>
      <c r="F30" s="201"/>
      <c r="G30" s="201"/>
      <c r="H30" s="201"/>
      <c r="I30" s="201"/>
      <c r="J30" s="348" t="str">
        <f t="shared" si="2"/>
        <v>Not met</v>
      </c>
      <c r="K30" s="349"/>
      <c r="L30" s="208" t="str">
        <f t="shared" ref="L30:M32" si="4">IF(L19&gt;=100000,"Threshold met","Not met")</f>
        <v>Not met</v>
      </c>
      <c r="M30" s="208" t="str">
        <f t="shared" si="4"/>
        <v>Not met</v>
      </c>
      <c r="N30" s="181"/>
      <c r="Q30" s="9"/>
      <c r="R30" s="9"/>
      <c r="S30" s="9"/>
      <c r="T30" s="9"/>
      <c r="U30" s="9"/>
      <c r="V30" s="9"/>
      <c r="AC30" s="92" t="s">
        <v>73</v>
      </c>
      <c r="AD30" s="92">
        <v>34.4</v>
      </c>
      <c r="AE30" s="92">
        <v>69.7</v>
      </c>
      <c r="AF30" s="92">
        <v>0.02</v>
      </c>
      <c r="AG30" s="92">
        <v>0.2</v>
      </c>
      <c r="AH30" s="7" t="s">
        <v>74</v>
      </c>
      <c r="AQ30" s="94" t="s">
        <v>75</v>
      </c>
      <c r="AR30" s="95">
        <v>0</v>
      </c>
      <c r="AS30" s="95">
        <v>0</v>
      </c>
      <c r="AT30" s="95">
        <v>0</v>
      </c>
      <c r="AU30" s="95" t="s">
        <v>76</v>
      </c>
      <c r="AV30" s="96" t="s">
        <v>74</v>
      </c>
      <c r="AX30" s="97" t="s">
        <v>75</v>
      </c>
      <c r="AY30" s="98">
        <v>0</v>
      </c>
      <c r="AZ30" s="98">
        <v>0</v>
      </c>
      <c r="BA30" s="98">
        <v>0</v>
      </c>
      <c r="BB30" s="98" t="s">
        <v>76</v>
      </c>
      <c r="BC30" s="99" t="s">
        <v>74</v>
      </c>
    </row>
    <row r="31" spans="2:55" ht="15" customHeight="1" x14ac:dyDescent="0.3">
      <c r="B31" s="146"/>
      <c r="C31" s="201" t="s">
        <v>66</v>
      </c>
      <c r="D31" s="181"/>
      <c r="E31" s="201"/>
      <c r="F31" s="201"/>
      <c r="G31" s="201"/>
      <c r="H31" s="201"/>
      <c r="I31" s="201"/>
      <c r="J31" s="348" t="str">
        <f t="shared" si="2"/>
        <v>Not met</v>
      </c>
      <c r="K31" s="349"/>
      <c r="L31" s="208" t="str">
        <f t="shared" si="4"/>
        <v>Not met</v>
      </c>
      <c r="M31" s="208" t="str">
        <f t="shared" si="4"/>
        <v>Not met</v>
      </c>
      <c r="N31" s="181"/>
      <c r="AC31" s="92" t="s">
        <v>77</v>
      </c>
      <c r="AD31" s="92">
        <v>25.7</v>
      </c>
      <c r="AE31" s="92">
        <v>60.2</v>
      </c>
      <c r="AF31" s="92">
        <v>0.2</v>
      </c>
      <c r="AG31" s="92">
        <v>0.2</v>
      </c>
      <c r="AH31" s="7" t="s">
        <v>74</v>
      </c>
      <c r="AQ31" s="108" t="s">
        <v>78</v>
      </c>
      <c r="AR31" s="95">
        <v>0</v>
      </c>
      <c r="AS31" s="95">
        <v>0</v>
      </c>
      <c r="AT31" s="95">
        <v>0</v>
      </c>
      <c r="AU31" s="95" t="s">
        <v>79</v>
      </c>
      <c r="AV31" s="96" t="s">
        <v>74</v>
      </c>
      <c r="AX31" s="109" t="s">
        <v>78</v>
      </c>
      <c r="AY31" s="98">
        <v>0</v>
      </c>
      <c r="AZ31" s="98">
        <v>0</v>
      </c>
      <c r="BA31" s="98">
        <v>0</v>
      </c>
      <c r="BB31" s="98" t="s">
        <v>79</v>
      </c>
      <c r="BC31" s="99" t="s">
        <v>74</v>
      </c>
    </row>
    <row r="32" spans="2:55" ht="15" customHeight="1" x14ac:dyDescent="0.3">
      <c r="B32" s="18"/>
      <c r="C32" s="201" t="s">
        <v>67</v>
      </c>
      <c r="D32" s="181"/>
      <c r="E32" s="201"/>
      <c r="F32" s="201"/>
      <c r="G32" s="316"/>
      <c r="H32" s="316"/>
      <c r="I32" s="201"/>
      <c r="J32" s="354" t="str">
        <f t="shared" si="2"/>
        <v>Not met</v>
      </c>
      <c r="K32" s="355"/>
      <c r="L32" s="205" t="str">
        <f t="shared" si="4"/>
        <v>Not met</v>
      </c>
      <c r="M32" s="205" t="str">
        <f t="shared" si="4"/>
        <v>Not met</v>
      </c>
      <c r="N32" s="181"/>
      <c r="AC32" s="92" t="s">
        <v>80</v>
      </c>
      <c r="AD32" s="92">
        <v>31.4</v>
      </c>
      <c r="AE32" s="92">
        <v>69.8</v>
      </c>
      <c r="AF32" s="92">
        <v>0</v>
      </c>
      <c r="AG32" s="92">
        <v>0.01</v>
      </c>
      <c r="AH32" s="7" t="s">
        <v>74</v>
      </c>
      <c r="AQ32" s="94" t="s">
        <v>81</v>
      </c>
      <c r="AR32" s="95">
        <v>0</v>
      </c>
      <c r="AS32" s="95">
        <v>0</v>
      </c>
      <c r="AT32" s="95">
        <v>0</v>
      </c>
      <c r="AU32" s="95" t="s">
        <v>82</v>
      </c>
      <c r="AV32" s="96" t="s">
        <v>83</v>
      </c>
      <c r="AX32" s="97" t="s">
        <v>81</v>
      </c>
      <c r="AY32" s="98">
        <v>0</v>
      </c>
      <c r="AZ32" s="98">
        <v>0</v>
      </c>
      <c r="BA32" s="98">
        <v>0</v>
      </c>
      <c r="BB32" s="98" t="s">
        <v>82</v>
      </c>
      <c r="BC32" s="99" t="s">
        <v>83</v>
      </c>
    </row>
    <row r="33" spans="2:55" s="9" customFormat="1" ht="15" customHeight="1" x14ac:dyDescent="0.3">
      <c r="B33" s="19"/>
      <c r="C33" s="168"/>
      <c r="D33" s="26"/>
      <c r="E33" s="26"/>
      <c r="F33" s="26"/>
      <c r="G33" s="201"/>
      <c r="H33" s="201"/>
      <c r="I33" s="26"/>
      <c r="J33" s="68"/>
      <c r="K33" s="68"/>
      <c r="L33" s="69"/>
      <c r="M33" s="69"/>
      <c r="N33" s="26"/>
      <c r="Q33" s="2"/>
      <c r="R33" s="2"/>
      <c r="S33" s="2"/>
      <c r="T33" s="2"/>
      <c r="U33" s="2"/>
      <c r="V33" s="2"/>
      <c r="AC33" s="92" t="s">
        <v>81</v>
      </c>
      <c r="AD33" s="92">
        <v>34.200000000000003</v>
      </c>
      <c r="AE33" s="92">
        <v>92.6</v>
      </c>
      <c r="AF33" s="92">
        <v>7.0000000000000007E-2</v>
      </c>
      <c r="AG33" s="92">
        <v>0.2</v>
      </c>
      <c r="AH33" s="101" t="s">
        <v>83</v>
      </c>
      <c r="AQ33" s="110" t="s">
        <v>84</v>
      </c>
      <c r="AR33" s="111">
        <v>0</v>
      </c>
      <c r="AS33" s="111">
        <v>0</v>
      </c>
      <c r="AT33" s="111">
        <v>0</v>
      </c>
      <c r="AU33" s="111" t="s">
        <v>85</v>
      </c>
      <c r="AV33" s="112" t="s">
        <v>83</v>
      </c>
      <c r="AX33" s="113" t="s">
        <v>84</v>
      </c>
      <c r="AY33" s="114">
        <v>0</v>
      </c>
      <c r="AZ33" s="114">
        <v>0</v>
      </c>
      <c r="BA33" s="114">
        <v>0</v>
      </c>
      <c r="BB33" s="114" t="s">
        <v>85</v>
      </c>
      <c r="BC33" s="102" t="s">
        <v>83</v>
      </c>
    </row>
    <row r="34" spans="2:55" s="9" customFormat="1" ht="15" customHeight="1" x14ac:dyDescent="0.3">
      <c r="B34" s="144"/>
      <c r="C34" s="168" t="s">
        <v>86</v>
      </c>
      <c r="D34" s="26"/>
      <c r="E34" s="25"/>
      <c r="F34" s="26"/>
      <c r="G34" s="350"/>
      <c r="H34" s="316"/>
      <c r="I34" s="26"/>
      <c r="J34" s="358" t="str">
        <f>IF(J23&gt;=50000,"Threshold met","Not met")</f>
        <v>Not met</v>
      </c>
      <c r="K34" s="359"/>
      <c r="L34" s="45" t="str">
        <f>IF(L23&gt;=200000,"Threshold met","Not met")</f>
        <v>Not met</v>
      </c>
      <c r="M34" s="45" t="str">
        <f>IF(M23&gt;=200000,"Threshold met","Not met")</f>
        <v>Not met</v>
      </c>
      <c r="N34" s="26"/>
      <c r="Q34" s="2"/>
      <c r="R34" s="2"/>
      <c r="S34" s="2"/>
      <c r="T34" s="2"/>
      <c r="U34" s="2"/>
      <c r="V34" s="2"/>
      <c r="AC34" s="92" t="s">
        <v>87</v>
      </c>
      <c r="AD34" s="92">
        <v>42.9</v>
      </c>
      <c r="AE34" s="92">
        <v>54.7</v>
      </c>
      <c r="AF34" s="92">
        <v>0.02</v>
      </c>
      <c r="AG34" s="92">
        <v>0</v>
      </c>
      <c r="AH34" s="101" t="s">
        <v>83</v>
      </c>
      <c r="AQ34" s="110" t="s">
        <v>88</v>
      </c>
      <c r="AR34" s="111">
        <v>0</v>
      </c>
      <c r="AS34" s="111">
        <v>0</v>
      </c>
      <c r="AT34" s="111">
        <v>0</v>
      </c>
      <c r="AU34" s="111" t="s">
        <v>82</v>
      </c>
      <c r="AV34" s="112" t="s">
        <v>83</v>
      </c>
      <c r="AX34" s="113" t="s">
        <v>88</v>
      </c>
      <c r="AY34" s="114">
        <v>0</v>
      </c>
      <c r="AZ34" s="114">
        <v>0</v>
      </c>
      <c r="BA34" s="114">
        <v>0</v>
      </c>
      <c r="BB34" s="114" t="s">
        <v>82</v>
      </c>
      <c r="BC34" s="102" t="s">
        <v>83</v>
      </c>
    </row>
    <row r="35" spans="2:55" s="9" customFormat="1" ht="15" customHeight="1" x14ac:dyDescent="0.3">
      <c r="B35" s="144"/>
      <c r="C35" s="168"/>
      <c r="D35" s="26"/>
      <c r="E35" s="25"/>
      <c r="F35" s="26"/>
      <c r="G35" s="206"/>
      <c r="H35" s="201"/>
      <c r="I35" s="26"/>
      <c r="J35" s="27"/>
      <c r="K35" s="28"/>
      <c r="L35" s="29"/>
      <c r="M35" s="29"/>
      <c r="N35" s="26"/>
      <c r="Q35" s="2"/>
      <c r="R35" s="2"/>
      <c r="S35" s="2"/>
      <c r="T35" s="2"/>
      <c r="U35" s="2"/>
      <c r="V35" s="2"/>
      <c r="AC35" s="92" t="s">
        <v>88</v>
      </c>
      <c r="AD35" s="92">
        <v>34.200000000000003</v>
      </c>
      <c r="AE35" s="92">
        <v>92.6</v>
      </c>
      <c r="AF35" s="92">
        <v>7.0000000000000007E-2</v>
      </c>
      <c r="AG35" s="92">
        <v>0.2</v>
      </c>
      <c r="AH35" s="101" t="s">
        <v>83</v>
      </c>
      <c r="AQ35" s="110" t="s">
        <v>87</v>
      </c>
      <c r="AR35" s="111">
        <v>0</v>
      </c>
      <c r="AS35" s="111">
        <v>0</v>
      </c>
      <c r="AT35" s="111">
        <v>0</v>
      </c>
      <c r="AU35" s="111" t="s">
        <v>89</v>
      </c>
      <c r="AV35" s="112" t="s">
        <v>83</v>
      </c>
      <c r="AX35" s="113" t="s">
        <v>87</v>
      </c>
      <c r="AY35" s="114">
        <v>0</v>
      </c>
      <c r="AZ35" s="114">
        <v>0</v>
      </c>
      <c r="BA35" s="114">
        <v>0</v>
      </c>
      <c r="BB35" s="114" t="s">
        <v>89</v>
      </c>
      <c r="BC35" s="102" t="s">
        <v>83</v>
      </c>
    </row>
    <row r="36" spans="2:55" s="9" customFormat="1" ht="15" customHeight="1" x14ac:dyDescent="0.3">
      <c r="B36" s="2"/>
      <c r="C36" s="16"/>
      <c r="D36" s="13"/>
      <c r="E36" s="13"/>
      <c r="F36" s="12"/>
      <c r="G36" s="12"/>
      <c r="H36" s="12"/>
      <c r="I36" s="10"/>
      <c r="J36" s="10"/>
      <c r="K36" s="10"/>
      <c r="L36" s="10"/>
      <c r="M36" s="11"/>
      <c r="N36" s="11"/>
      <c r="Q36" s="2"/>
      <c r="R36" s="2"/>
      <c r="S36" s="2"/>
      <c r="T36" s="2"/>
      <c r="U36" s="2"/>
      <c r="V36" s="2"/>
      <c r="AC36" s="92" t="s">
        <v>90</v>
      </c>
      <c r="AD36" s="92">
        <v>34.4</v>
      </c>
      <c r="AE36" s="92">
        <v>69.8</v>
      </c>
      <c r="AF36" s="92">
        <v>0</v>
      </c>
      <c r="AG36" s="92">
        <v>0.2</v>
      </c>
      <c r="AH36" s="101" t="s">
        <v>74</v>
      </c>
      <c r="AQ36" s="110" t="s">
        <v>91</v>
      </c>
      <c r="AR36" s="111">
        <v>0</v>
      </c>
      <c r="AS36" s="111">
        <v>0</v>
      </c>
      <c r="AT36" s="111">
        <v>0</v>
      </c>
      <c r="AU36" s="111" t="s">
        <v>92</v>
      </c>
      <c r="AV36" s="112" t="s">
        <v>93</v>
      </c>
      <c r="AX36" s="113" t="s">
        <v>91</v>
      </c>
      <c r="AY36" s="114">
        <v>0</v>
      </c>
      <c r="AZ36" s="114">
        <v>0</v>
      </c>
      <c r="BA36" s="114">
        <v>0</v>
      </c>
      <c r="BB36" s="114" t="s">
        <v>92</v>
      </c>
      <c r="BC36" s="102" t="s">
        <v>93</v>
      </c>
    </row>
    <row r="37" spans="2:55" s="9" customFormat="1" ht="15" customHeight="1" x14ac:dyDescent="0.3">
      <c r="B37" s="144"/>
      <c r="C37" s="325" t="s">
        <v>364</v>
      </c>
      <c r="D37" s="325"/>
      <c r="E37" s="325"/>
      <c r="F37" s="325"/>
      <c r="G37" s="325"/>
      <c r="H37" s="325"/>
      <c r="I37" s="325"/>
      <c r="J37" s="325"/>
      <c r="K37" s="325"/>
      <c r="L37" s="325"/>
      <c r="M37" s="325"/>
      <c r="N37" s="329"/>
      <c r="Q37" s="2"/>
      <c r="R37" s="2"/>
      <c r="S37" s="2"/>
      <c r="T37" s="2"/>
      <c r="U37" s="2"/>
      <c r="V37" s="2"/>
      <c r="AC37" s="92" t="s">
        <v>94</v>
      </c>
      <c r="AD37" s="92">
        <v>34.6</v>
      </c>
      <c r="AE37" s="92">
        <v>0</v>
      </c>
      <c r="AF37" s="92">
        <v>7.0000000000000007E-2</v>
      </c>
      <c r="AG37" s="92">
        <v>0.2</v>
      </c>
      <c r="AH37" s="101" t="s">
        <v>74</v>
      </c>
      <c r="AQ37" s="110" t="s">
        <v>95</v>
      </c>
      <c r="AR37" s="111">
        <v>0</v>
      </c>
      <c r="AS37" s="111">
        <v>0</v>
      </c>
      <c r="AT37" s="111">
        <v>0</v>
      </c>
      <c r="AU37" s="111" t="s">
        <v>96</v>
      </c>
      <c r="AV37" s="112" t="s">
        <v>83</v>
      </c>
      <c r="AX37" s="113" t="s">
        <v>97</v>
      </c>
      <c r="AY37" s="114">
        <v>0</v>
      </c>
      <c r="AZ37" s="114">
        <v>0</v>
      </c>
      <c r="BA37" s="114">
        <v>0</v>
      </c>
      <c r="BB37" s="114" t="s">
        <v>96</v>
      </c>
      <c r="BC37" s="102" t="s">
        <v>83</v>
      </c>
    </row>
    <row r="38" spans="2:55" s="9" customFormat="1" ht="15" customHeight="1" x14ac:dyDescent="0.3">
      <c r="B38" s="144"/>
      <c r="C38" s="314"/>
      <c r="D38" s="314"/>
      <c r="E38" s="314"/>
      <c r="F38" s="314"/>
      <c r="G38" s="314"/>
      <c r="H38" s="314"/>
      <c r="I38" s="314"/>
      <c r="J38" s="314"/>
      <c r="K38" s="314"/>
      <c r="L38" s="314"/>
      <c r="M38" s="314"/>
      <c r="N38" s="330"/>
      <c r="Q38" s="2"/>
      <c r="R38" s="2"/>
      <c r="S38" s="2"/>
      <c r="T38" s="2"/>
      <c r="U38" s="2"/>
      <c r="V38" s="2"/>
      <c r="AC38" s="92" t="s">
        <v>98</v>
      </c>
      <c r="AD38" s="92">
        <v>23.4</v>
      </c>
      <c r="AE38" s="92">
        <v>0</v>
      </c>
      <c r="AF38" s="92">
        <v>7.0000000000000007E-2</v>
      </c>
      <c r="AG38" s="92">
        <v>0.2</v>
      </c>
      <c r="AH38" s="7" t="s">
        <v>74</v>
      </c>
      <c r="AQ38" s="94" t="s">
        <v>99</v>
      </c>
      <c r="AR38" s="95">
        <v>0</v>
      </c>
      <c r="AS38" s="95">
        <v>0</v>
      </c>
      <c r="AT38" s="95">
        <v>0</v>
      </c>
      <c r="AU38" s="95" t="s">
        <v>79</v>
      </c>
      <c r="AV38" s="96" t="s">
        <v>74</v>
      </c>
      <c r="AX38" s="97" t="s">
        <v>99</v>
      </c>
      <c r="AY38" s="98">
        <v>0</v>
      </c>
      <c r="AZ38" s="98">
        <v>0</v>
      </c>
      <c r="BA38" s="98">
        <v>0</v>
      </c>
      <c r="BB38" s="98" t="s">
        <v>79</v>
      </c>
      <c r="BC38" s="99" t="s">
        <v>74</v>
      </c>
    </row>
    <row r="39" spans="2:55" s="9" customFormat="1" ht="15" customHeight="1" x14ac:dyDescent="0.3">
      <c r="B39" s="26"/>
      <c r="C39" s="326" t="s">
        <v>100</v>
      </c>
      <c r="D39" s="30"/>
      <c r="E39" s="31" t="s">
        <v>101</v>
      </c>
      <c r="F39" s="336" t="str">
        <f>IF(J23&gt;=50000,"You may have triggered the emissions reporting threshold for the corporation. Please contact the Clean Energy Regulator",IF(J23&gt;44000, "You are close to the emissions reporting threshold for the corporation. Please contact the Clean Energy Regulator",""))</f>
        <v/>
      </c>
      <c r="G39" s="336"/>
      <c r="H39" s="336"/>
      <c r="I39" s="336"/>
      <c r="J39" s="336"/>
      <c r="K39" s="336"/>
      <c r="L39" s="336"/>
      <c r="M39" s="336"/>
      <c r="N39" s="32" t="s">
        <v>102</v>
      </c>
      <c r="Q39" s="2"/>
      <c r="R39" s="2"/>
      <c r="S39" s="2"/>
      <c r="T39" s="2"/>
      <c r="U39" s="2"/>
      <c r="V39" s="2"/>
      <c r="AC39" s="92" t="s">
        <v>103</v>
      </c>
      <c r="AD39" s="92">
        <v>23.4</v>
      </c>
      <c r="AE39" s="92">
        <v>0</v>
      </c>
      <c r="AF39" s="92">
        <v>7.0000000000000007E-2</v>
      </c>
      <c r="AG39" s="92">
        <v>0.2</v>
      </c>
      <c r="AH39" s="7" t="s">
        <v>74</v>
      </c>
      <c r="AQ39" s="94" t="s">
        <v>73</v>
      </c>
      <c r="AR39" s="95">
        <v>0</v>
      </c>
      <c r="AS39" s="95">
        <v>0</v>
      </c>
      <c r="AT39" s="95">
        <v>0</v>
      </c>
      <c r="AU39" s="95" t="s">
        <v>79</v>
      </c>
      <c r="AV39" s="96" t="s">
        <v>74</v>
      </c>
      <c r="AX39" s="97" t="s">
        <v>73</v>
      </c>
      <c r="AY39" s="98">
        <v>0</v>
      </c>
      <c r="AZ39" s="98">
        <v>0</v>
      </c>
      <c r="BA39" s="98">
        <v>0</v>
      </c>
      <c r="BB39" s="98" t="s">
        <v>79</v>
      </c>
      <c r="BC39" s="99" t="s">
        <v>74</v>
      </c>
    </row>
    <row r="40" spans="2:55" s="9" customFormat="1" ht="15" customHeight="1" x14ac:dyDescent="0.35">
      <c r="B40" s="26"/>
      <c r="C40" s="326"/>
      <c r="D40" s="33"/>
      <c r="E40" s="332">
        <f>J23</f>
        <v>0</v>
      </c>
      <c r="F40" s="332"/>
      <c r="G40" s="332"/>
      <c r="H40" s="332"/>
      <c r="I40" s="332"/>
      <c r="J40" s="332"/>
      <c r="K40" s="332"/>
      <c r="L40" s="332"/>
      <c r="M40" s="332"/>
      <c r="N40" s="333"/>
      <c r="Q40" s="2"/>
      <c r="R40" s="2"/>
      <c r="S40" s="2"/>
      <c r="T40" s="2"/>
      <c r="U40" s="2"/>
      <c r="V40" s="2"/>
      <c r="AC40" s="2"/>
      <c r="AD40" s="2"/>
      <c r="AE40" s="2"/>
      <c r="AF40" s="2"/>
      <c r="AG40" s="2"/>
      <c r="AH40" s="2"/>
      <c r="AQ40" s="94" t="s">
        <v>104</v>
      </c>
      <c r="AR40" s="95">
        <v>0</v>
      </c>
      <c r="AS40" s="95">
        <v>0</v>
      </c>
      <c r="AT40" s="95">
        <v>0</v>
      </c>
      <c r="AU40" s="95" t="s">
        <v>105</v>
      </c>
      <c r="AV40" s="96" t="s">
        <v>83</v>
      </c>
      <c r="AX40" s="97" t="s">
        <v>104</v>
      </c>
      <c r="AY40" s="98">
        <v>0</v>
      </c>
      <c r="AZ40" s="98">
        <v>0</v>
      </c>
      <c r="BA40" s="98">
        <v>0</v>
      </c>
      <c r="BB40" s="98" t="s">
        <v>105</v>
      </c>
      <c r="BC40" s="99" t="s">
        <v>83</v>
      </c>
    </row>
    <row r="41" spans="2:55" ht="15" customHeight="1" x14ac:dyDescent="0.35">
      <c r="B41" s="26"/>
      <c r="C41" s="326" t="s">
        <v>106</v>
      </c>
      <c r="D41" s="33"/>
      <c r="E41" s="34" t="s">
        <v>54</v>
      </c>
      <c r="F41" s="343" t="str">
        <f>IF(L23&gt;=200000,"You may have triggered the energy reporting threshold for the corporation. Please contact the Clean Energy Regulator",IF(L23&gt;190000, "You are close to the energy reporting threshold for the corporation. Please contact the Clean Energy Regulator",""))</f>
        <v/>
      </c>
      <c r="G41" s="343"/>
      <c r="H41" s="343"/>
      <c r="I41" s="343"/>
      <c r="J41" s="343"/>
      <c r="K41" s="343"/>
      <c r="L41" s="343"/>
      <c r="M41" s="343"/>
      <c r="N41" s="35" t="s">
        <v>107</v>
      </c>
      <c r="AC41" s="2" t="s">
        <v>108</v>
      </c>
      <c r="AQ41" s="94" t="s">
        <v>109</v>
      </c>
      <c r="AR41" s="95">
        <v>0</v>
      </c>
      <c r="AS41" s="95">
        <v>0</v>
      </c>
      <c r="AT41" s="95">
        <v>0</v>
      </c>
      <c r="AU41" s="95" t="s">
        <v>110</v>
      </c>
      <c r="AV41" s="96" t="s">
        <v>83</v>
      </c>
      <c r="AX41" s="97" t="s">
        <v>109</v>
      </c>
      <c r="AY41" s="98">
        <v>0</v>
      </c>
      <c r="AZ41" s="98">
        <v>0</v>
      </c>
      <c r="BA41" s="98">
        <v>0</v>
      </c>
      <c r="BB41" s="98" t="s">
        <v>110</v>
      </c>
      <c r="BC41" s="99" t="s">
        <v>83</v>
      </c>
    </row>
    <row r="42" spans="2:55" ht="15" customHeight="1" x14ac:dyDescent="0.3">
      <c r="B42" s="26"/>
      <c r="C42" s="326"/>
      <c r="E42" s="332">
        <f>L23</f>
        <v>0</v>
      </c>
      <c r="F42" s="332"/>
      <c r="G42" s="332"/>
      <c r="H42" s="332"/>
      <c r="I42" s="332"/>
      <c r="J42" s="332"/>
      <c r="K42" s="332"/>
      <c r="L42" s="332"/>
      <c r="M42" s="332"/>
      <c r="N42" s="333"/>
      <c r="AQ42" s="94" t="s">
        <v>111</v>
      </c>
      <c r="AR42" s="95">
        <v>0</v>
      </c>
      <c r="AS42" s="95">
        <v>0</v>
      </c>
      <c r="AT42" s="95">
        <v>0</v>
      </c>
      <c r="AU42" s="95" t="s">
        <v>112</v>
      </c>
      <c r="AV42" s="96" t="s">
        <v>93</v>
      </c>
      <c r="AX42" s="97" t="s">
        <v>111</v>
      </c>
      <c r="AY42" s="98">
        <v>0</v>
      </c>
      <c r="AZ42" s="98">
        <v>0</v>
      </c>
      <c r="BA42" s="98">
        <v>0</v>
      </c>
      <c r="BB42" s="98" t="s">
        <v>112</v>
      </c>
      <c r="BC42" s="99" t="s">
        <v>93</v>
      </c>
    </row>
    <row r="43" spans="2:55" ht="15" customHeight="1" x14ac:dyDescent="0.3">
      <c r="B43" s="26"/>
      <c r="C43" s="326" t="s">
        <v>113</v>
      </c>
      <c r="E43" s="34" t="s">
        <v>54</v>
      </c>
      <c r="F43" s="343" t="str">
        <f>IF(M23&gt;=200000,"You may have triggered the energy reporting threshold for the corporation. Please contact the Clean Energy Regulator",IF(M23&gt;190000, "You are close to the energy reporting threshold for the corporation. Please contact the Clean Energy Regulator",""))</f>
        <v/>
      </c>
      <c r="G43" s="343"/>
      <c r="H43" s="343"/>
      <c r="I43" s="343"/>
      <c r="J43" s="343"/>
      <c r="K43" s="343"/>
      <c r="L43" s="343"/>
      <c r="M43" s="343"/>
      <c r="N43" s="35" t="s">
        <v>107</v>
      </c>
      <c r="AQ43" s="94" t="s">
        <v>114</v>
      </c>
      <c r="AR43" s="95">
        <v>0</v>
      </c>
      <c r="AS43" s="95">
        <v>0</v>
      </c>
      <c r="AT43" s="95">
        <v>0</v>
      </c>
      <c r="AU43" s="95" t="s">
        <v>115</v>
      </c>
      <c r="AV43" s="96" t="s">
        <v>93</v>
      </c>
      <c r="AX43" s="97" t="s">
        <v>114</v>
      </c>
      <c r="AY43" s="98">
        <v>0</v>
      </c>
      <c r="AZ43" s="98">
        <v>0</v>
      </c>
      <c r="BA43" s="98">
        <v>0</v>
      </c>
      <c r="BB43" s="98" t="s">
        <v>115</v>
      </c>
      <c r="BC43" s="99" t="s">
        <v>93</v>
      </c>
    </row>
    <row r="44" spans="2:55" ht="15" customHeight="1" x14ac:dyDescent="0.3">
      <c r="B44" s="37"/>
      <c r="C44" s="328"/>
      <c r="D44" s="150"/>
      <c r="E44" s="334">
        <f>M23</f>
        <v>0</v>
      </c>
      <c r="F44" s="334"/>
      <c r="G44" s="334"/>
      <c r="H44" s="334"/>
      <c r="I44" s="334"/>
      <c r="J44" s="334"/>
      <c r="K44" s="334"/>
      <c r="L44" s="334"/>
      <c r="M44" s="334"/>
      <c r="N44" s="335"/>
      <c r="AQ44" s="94" t="s">
        <v>116</v>
      </c>
      <c r="AR44" s="95">
        <v>0</v>
      </c>
      <c r="AS44" s="95">
        <v>0</v>
      </c>
      <c r="AT44" s="95">
        <v>0</v>
      </c>
      <c r="AU44" s="95" t="s">
        <v>117</v>
      </c>
      <c r="AV44" s="96" t="s">
        <v>83</v>
      </c>
      <c r="AX44" s="97" t="s">
        <v>116</v>
      </c>
      <c r="AY44" s="98">
        <v>0</v>
      </c>
      <c r="AZ44" s="98">
        <v>0</v>
      </c>
      <c r="BA44" s="98">
        <v>0</v>
      </c>
      <c r="BB44" s="98" t="s">
        <v>117</v>
      </c>
      <c r="BC44" s="99" t="s">
        <v>83</v>
      </c>
    </row>
    <row r="45" spans="2:55" ht="15" hidden="1" customHeight="1" x14ac:dyDescent="0.3">
      <c r="AQ45" s="8" t="s">
        <v>118</v>
      </c>
      <c r="AR45" s="8">
        <v>0</v>
      </c>
      <c r="AS45" s="8">
        <v>0</v>
      </c>
      <c r="AT45" s="8">
        <v>0</v>
      </c>
      <c r="AU45" s="8">
        <v>1</v>
      </c>
      <c r="AV45" s="8" t="s">
        <v>48</v>
      </c>
      <c r="AX45" s="102" t="s">
        <v>119</v>
      </c>
      <c r="AY45" s="98">
        <v>0</v>
      </c>
      <c r="AZ45" s="98">
        <v>0</v>
      </c>
      <c r="BA45" s="98">
        <v>0</v>
      </c>
      <c r="BB45" s="102">
        <v>34.4</v>
      </c>
      <c r="BC45" s="7" t="s">
        <v>74</v>
      </c>
    </row>
    <row r="46" spans="2:55" ht="15" hidden="1" customHeight="1" x14ac:dyDescent="0.3">
      <c r="AX46" s="102" t="s">
        <v>120</v>
      </c>
      <c r="AY46" s="98">
        <v>0</v>
      </c>
      <c r="AZ46" s="98">
        <v>0</v>
      </c>
      <c r="BA46" s="98">
        <v>0</v>
      </c>
      <c r="BB46" s="102">
        <v>43.2</v>
      </c>
      <c r="BC46" s="7" t="s">
        <v>83</v>
      </c>
    </row>
    <row r="47" spans="2:55" ht="15" hidden="1" customHeight="1" x14ac:dyDescent="0.3">
      <c r="AX47" s="102" t="s">
        <v>121</v>
      </c>
      <c r="AY47" s="98">
        <v>0</v>
      </c>
      <c r="AZ47" s="98">
        <v>0</v>
      </c>
      <c r="BA47" s="98">
        <v>0</v>
      </c>
      <c r="BB47" s="102">
        <v>45.8</v>
      </c>
      <c r="BC47" s="7" t="s">
        <v>83</v>
      </c>
    </row>
    <row r="48" spans="2:55" ht="15" hidden="1" customHeight="1" x14ac:dyDescent="0.3">
      <c r="AX48" s="102" t="s">
        <v>122</v>
      </c>
      <c r="AY48" s="98">
        <v>0</v>
      </c>
      <c r="AZ48" s="98">
        <v>0</v>
      </c>
      <c r="BA48" s="98">
        <v>0</v>
      </c>
      <c r="BB48" s="102">
        <v>37.1</v>
      </c>
      <c r="BC48" s="7" t="s">
        <v>83</v>
      </c>
    </row>
    <row r="49" spans="50:55" ht="15" hidden="1" customHeight="1" x14ac:dyDescent="0.3">
      <c r="AX49" s="102" t="s">
        <v>123</v>
      </c>
      <c r="AY49" s="98">
        <v>0</v>
      </c>
      <c r="AZ49" s="98">
        <v>0</v>
      </c>
      <c r="BA49" s="98">
        <v>0</v>
      </c>
      <c r="BB49" s="102">
        <v>50.3</v>
      </c>
      <c r="BC49" s="7" t="s">
        <v>83</v>
      </c>
    </row>
    <row r="50" spans="50:55" ht="17.55" hidden="1" customHeight="1" x14ac:dyDescent="0.3">
      <c r="AX50" s="102" t="s">
        <v>124</v>
      </c>
      <c r="AY50" s="98">
        <v>0</v>
      </c>
      <c r="AZ50" s="98">
        <v>0</v>
      </c>
      <c r="BA50" s="98">
        <v>0</v>
      </c>
      <c r="BB50" s="7">
        <v>0</v>
      </c>
      <c r="BC50" s="7" t="s">
        <v>83</v>
      </c>
    </row>
    <row r="51" spans="50:55" ht="17.55" hidden="1" customHeight="1" x14ac:dyDescent="0.3">
      <c r="AX51" s="7" t="s">
        <v>125</v>
      </c>
      <c r="AY51" s="7">
        <v>0</v>
      </c>
      <c r="AZ51" s="7">
        <v>0</v>
      </c>
      <c r="BA51" s="7">
        <v>0</v>
      </c>
      <c r="BB51" s="7">
        <v>3.5999999999999999E-3</v>
      </c>
      <c r="BC51" s="7" t="s">
        <v>31</v>
      </c>
    </row>
    <row r="52" spans="50:55" ht="17.55" hidden="1" customHeight="1" x14ac:dyDescent="0.3">
      <c r="AX52" s="7" t="s">
        <v>126</v>
      </c>
      <c r="AY52" s="7">
        <v>0</v>
      </c>
      <c r="AZ52" s="7">
        <v>0</v>
      </c>
      <c r="BA52" s="7">
        <v>0</v>
      </c>
      <c r="BB52" s="7">
        <v>1</v>
      </c>
      <c r="BC52" s="7" t="s">
        <v>48</v>
      </c>
    </row>
    <row r="53" spans="50:55" ht="17.55" hidden="1" customHeight="1" x14ac:dyDescent="0.3">
      <c r="AX53" s="7" t="s">
        <v>127</v>
      </c>
      <c r="AY53" s="7">
        <v>0</v>
      </c>
      <c r="AZ53" s="7">
        <v>0</v>
      </c>
      <c r="BA53" s="7">
        <v>0</v>
      </c>
      <c r="BB53" s="7">
        <v>1</v>
      </c>
      <c r="BC53" s="7" t="s">
        <v>48</v>
      </c>
    </row>
    <row r="54" spans="50:55" ht="17.55" hidden="1" customHeight="1" x14ac:dyDescent="0.3">
      <c r="AX54" s="7" t="s">
        <v>128</v>
      </c>
      <c r="AY54" s="7">
        <v>0</v>
      </c>
      <c r="AZ54" s="7">
        <v>0</v>
      </c>
      <c r="BA54" s="7">
        <v>0</v>
      </c>
      <c r="BB54" s="7">
        <v>1</v>
      </c>
      <c r="BC54" s="7" t="s">
        <v>48</v>
      </c>
    </row>
    <row r="55" spans="50:55" ht="17.55" hidden="1" customHeight="1" x14ac:dyDescent="0.3">
      <c r="AX55" s="7" t="s">
        <v>129</v>
      </c>
      <c r="AY55" s="7">
        <v>0</v>
      </c>
      <c r="AZ55" s="7">
        <v>0</v>
      </c>
      <c r="BA55" s="7">
        <v>0</v>
      </c>
      <c r="BB55" s="7">
        <v>1</v>
      </c>
      <c r="BC55" s="7" t="s">
        <v>48</v>
      </c>
    </row>
    <row r="56" spans="50:55" ht="17.55" hidden="1" customHeight="1" x14ac:dyDescent="0.3"/>
    <row r="57" spans="50:55" ht="17.55" hidden="1" customHeight="1" x14ac:dyDescent="0.3"/>
    <row r="58" spans="50:55" ht="17.55" hidden="1" customHeight="1" x14ac:dyDescent="0.3"/>
    <row r="59" spans="50:55" ht="17.55" hidden="1" customHeight="1" x14ac:dyDescent="0.3"/>
    <row r="60" spans="50:55" ht="17.55" hidden="1" customHeight="1" x14ac:dyDescent="0.3"/>
    <row r="61" spans="50:55" ht="17.55" hidden="1" customHeight="1" x14ac:dyDescent="0.3"/>
    <row r="62" spans="50:55" ht="17.55" hidden="1" customHeight="1" x14ac:dyDescent="0.3"/>
    <row r="63" spans="50:55" ht="17.55" hidden="1" customHeight="1" x14ac:dyDescent="0.3"/>
    <row r="64" spans="50:55" ht="17.55" hidden="1" customHeight="1" x14ac:dyDescent="0.3"/>
    <row r="65" ht="17.55" hidden="1" customHeight="1" x14ac:dyDescent="0.3"/>
    <row r="66" ht="17.55" hidden="1" customHeight="1" x14ac:dyDescent="0.3"/>
    <row r="67" ht="17.55" hidden="1" customHeight="1" x14ac:dyDescent="0.3"/>
    <row r="68" ht="17.55" hidden="1" customHeight="1" x14ac:dyDescent="0.3"/>
    <row r="69" ht="17.55" hidden="1" customHeight="1" x14ac:dyDescent="0.3"/>
    <row r="70" ht="17.55" hidden="1" customHeight="1" x14ac:dyDescent="0.3"/>
    <row r="71" ht="17.55" hidden="1" customHeight="1" x14ac:dyDescent="0.3"/>
    <row r="72" ht="17.55" hidden="1" customHeight="1" x14ac:dyDescent="0.3"/>
    <row r="73" ht="17.55" hidden="1" customHeight="1" x14ac:dyDescent="0.3"/>
    <row r="74" ht="17.55" hidden="1" customHeight="1" x14ac:dyDescent="0.3"/>
    <row r="75" ht="17.55" hidden="1" customHeight="1" x14ac:dyDescent="0.3"/>
  </sheetData>
  <sheetProtection algorithmName="SHA-256" hashValue="Qpva3GGfnfNSvOp/izGNjcB9ZAKhvizI3xzc2HbZbJc=" saltValue="JZj4rYCpV3M7jnG3F9OCYw==" spinCount="100000" sheet="1" selectLockedCells="1" selectUnlockedCells="1"/>
  <mergeCells count="59">
    <mergeCell ref="B1:N1"/>
    <mergeCell ref="G10:H10"/>
    <mergeCell ref="J10:K10"/>
    <mergeCell ref="G12:H12"/>
    <mergeCell ref="J12:K12"/>
    <mergeCell ref="G8:H8"/>
    <mergeCell ref="G9:H9"/>
    <mergeCell ref="G32:H32"/>
    <mergeCell ref="J32:K32"/>
    <mergeCell ref="G34:H34"/>
    <mergeCell ref="B2:K2"/>
    <mergeCell ref="J34:K34"/>
    <mergeCell ref="G4:H4"/>
    <mergeCell ref="J4:K4"/>
    <mergeCell ref="G5:H5"/>
    <mergeCell ref="J5:K5"/>
    <mergeCell ref="G6:H6"/>
    <mergeCell ref="J6:K6"/>
    <mergeCell ref="G7:H7"/>
    <mergeCell ref="J21:K21"/>
    <mergeCell ref="J23:K23"/>
    <mergeCell ref="G23:H23"/>
    <mergeCell ref="G21:H21"/>
    <mergeCell ref="C43:C44"/>
    <mergeCell ref="F43:M43"/>
    <mergeCell ref="E44:N44"/>
    <mergeCell ref="G15:H15"/>
    <mergeCell ref="J15:K15"/>
    <mergeCell ref="G16:H16"/>
    <mergeCell ref="G17:H17"/>
    <mergeCell ref="G18:H18"/>
    <mergeCell ref="C39:C40"/>
    <mergeCell ref="F39:M39"/>
    <mergeCell ref="E40:N40"/>
    <mergeCell ref="C41:C42"/>
    <mergeCell ref="F41:M41"/>
    <mergeCell ref="E42:N42"/>
    <mergeCell ref="G29:H29"/>
    <mergeCell ref="C37:N38"/>
    <mergeCell ref="J31:K31"/>
    <mergeCell ref="J8:K8"/>
    <mergeCell ref="J9:K9"/>
    <mergeCell ref="J29:K29"/>
    <mergeCell ref="L2:M2"/>
    <mergeCell ref="J26:K26"/>
    <mergeCell ref="J27:K27"/>
    <mergeCell ref="J28:K28"/>
    <mergeCell ref="J16:K16"/>
    <mergeCell ref="J17:K17"/>
    <mergeCell ref="J18:K18"/>
    <mergeCell ref="J7:K7"/>
    <mergeCell ref="G19:H19"/>
    <mergeCell ref="G20:H20"/>
    <mergeCell ref="J19:K19"/>
    <mergeCell ref="J20:K20"/>
    <mergeCell ref="J30:K30"/>
    <mergeCell ref="G26:H26"/>
    <mergeCell ref="G27:H27"/>
    <mergeCell ref="G28:H28"/>
  </mergeCells>
  <conditionalFormatting sqref="E40:N40">
    <cfRule type="dataBar" priority="8">
      <dataBar>
        <cfvo type="num" val="0"/>
        <cfvo type="num" val="50000"/>
        <color rgb="FF638EC6"/>
      </dataBar>
      <extLst>
        <ext xmlns:x14="http://schemas.microsoft.com/office/spreadsheetml/2009/9/main" uri="{B025F937-C7B1-47D3-B67F-A62EFF666E3E}">
          <x14:id>{20581967-097F-482C-B147-4C1DF7BF5C1B}</x14:id>
        </ext>
      </extLst>
    </cfRule>
  </conditionalFormatting>
  <conditionalFormatting sqref="E42:N42">
    <cfRule type="dataBar" priority="7">
      <dataBar>
        <cfvo type="num" val="0"/>
        <cfvo type="num" val="200000"/>
        <color rgb="FF638EC6"/>
      </dataBar>
      <extLst>
        <ext xmlns:x14="http://schemas.microsoft.com/office/spreadsheetml/2009/9/main" uri="{B025F937-C7B1-47D3-B67F-A62EFF666E3E}">
          <x14:id>{2593AF23-3C8D-4314-BB74-09B9BE59373F}</x14:id>
        </ext>
      </extLst>
    </cfRule>
  </conditionalFormatting>
  <conditionalFormatting sqref="E44:N44">
    <cfRule type="dataBar" priority="6">
      <dataBar>
        <cfvo type="num" val="0"/>
        <cfvo type="num" val="200000"/>
        <color rgb="FF638EC6"/>
      </dataBar>
      <extLst>
        <ext xmlns:x14="http://schemas.microsoft.com/office/spreadsheetml/2009/9/main" uri="{B025F937-C7B1-47D3-B67F-A62EFF666E3E}">
          <x14:id>{355865DD-1AC9-4874-89E0-12A19338BA4F}</x14:id>
        </ext>
      </extLst>
    </cfRule>
  </conditionalFormatting>
  <conditionalFormatting sqref="J27:M34">
    <cfRule type="cellIs" dxfId="16" priority="1" operator="equal">
      <formula>"Threshold met"</formula>
    </cfRule>
  </conditionalFormatting>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20581967-097F-482C-B147-4C1DF7BF5C1B}">
            <x14:dataBar minLength="0" maxLength="100" gradient="0">
              <x14:cfvo type="num">
                <xm:f>0</xm:f>
              </x14:cfvo>
              <x14:cfvo type="num">
                <xm:f>50000</xm:f>
              </x14:cfvo>
              <x14:negativeFillColor rgb="FFFF0000"/>
              <x14:axisColor rgb="FF000000"/>
            </x14:dataBar>
          </x14:cfRule>
          <xm:sqref>E40:N40</xm:sqref>
        </x14:conditionalFormatting>
        <x14:conditionalFormatting xmlns:xm="http://schemas.microsoft.com/office/excel/2006/main">
          <x14:cfRule type="dataBar" id="{2593AF23-3C8D-4314-BB74-09B9BE59373F}">
            <x14:dataBar minLength="0" maxLength="100" gradient="0">
              <x14:cfvo type="num">
                <xm:f>0</xm:f>
              </x14:cfvo>
              <x14:cfvo type="num">
                <xm:f>200000</xm:f>
              </x14:cfvo>
              <x14:negativeFillColor rgb="FFFF0000"/>
              <x14:axisColor rgb="FF000000"/>
            </x14:dataBar>
          </x14:cfRule>
          <xm:sqref>E42:N42</xm:sqref>
        </x14:conditionalFormatting>
        <x14:conditionalFormatting xmlns:xm="http://schemas.microsoft.com/office/excel/2006/main">
          <x14:cfRule type="dataBar" id="{355865DD-1AC9-4874-89E0-12A19338BA4F}">
            <x14:dataBar minLength="0" maxLength="100" gradient="0">
              <x14:cfvo type="num">
                <xm:f>0</xm:f>
              </x14:cfvo>
              <x14:cfvo type="num">
                <xm:f>200000</xm:f>
              </x14:cfvo>
              <x14:negativeFillColor rgb="FFFF0000"/>
              <x14:axisColor rgb="FF000000"/>
            </x14:dataBar>
          </x14:cfRule>
          <xm:sqref>E44:N44</xm:sqref>
        </x14:conditionalFormatting>
        <x14:conditionalFormatting xmlns:xm="http://schemas.microsoft.com/office/excel/2006/main">
          <x14:cfRule type="expression" priority="2" id="{74728CB6-8079-4FF4-8CD1-AD20C71DF2D0}">
            <xm:f>'Facility 1'!$M$4="No specific period"</xm:f>
            <x14:dxf>
              <font>
                <color theme="0"/>
              </font>
            </x14:dxf>
          </x14:cfRule>
          <xm:sqref>N5:N10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E98"/>
  <sheetViews>
    <sheetView showRowColHeaders="0" zoomScaleNormal="100" workbookViewId="0"/>
  </sheetViews>
  <sheetFormatPr defaultColWidth="0" defaultRowHeight="14.4" zeroHeight="1" x14ac:dyDescent="0.3"/>
  <cols>
    <col min="1" max="2" width="4" style="2" customWidth="1"/>
    <col min="3" max="3" width="67.5546875" style="2" customWidth="1"/>
    <col min="4" max="4" width="3.44140625" style="2" customWidth="1"/>
    <col min="5" max="5" width="20.5546875" style="2" customWidth="1"/>
    <col min="6" max="6" width="3.5546875" style="2" customWidth="1"/>
    <col min="7" max="8" width="9.21875" style="2" customWidth="1"/>
    <col min="9" max="9" width="13.5546875" style="2" customWidth="1"/>
    <col min="10" max="10" width="12.21875" style="2" customWidth="1"/>
    <col min="11" max="11" width="11.77734375" style="2" customWidth="1"/>
    <col min="12" max="12" width="23" style="2" customWidth="1"/>
    <col min="13" max="13" width="25.44140625" style="2" customWidth="1"/>
    <col min="14" max="14" width="23.44140625" style="2" customWidth="1"/>
    <col min="15" max="15" width="4.21875" style="2" customWidth="1"/>
    <col min="16" max="16" width="48.5546875" style="2" customWidth="1"/>
    <col min="17" max="17" width="4.77734375" style="2" customWidth="1"/>
    <col min="18" max="57" width="0" style="2" hidden="1" customWidth="1"/>
    <col min="58" max="16384" width="20.5546875" style="2" hidden="1"/>
  </cols>
  <sheetData>
    <row r="1" spans="2:57" ht="203.1" customHeight="1" x14ac:dyDescent="0.3"/>
    <row r="2" spans="2:57" ht="33" customHeight="1" x14ac:dyDescent="0.3">
      <c r="B2" s="181"/>
      <c r="C2" s="311" t="s">
        <v>351</v>
      </c>
      <c r="D2" s="311"/>
      <c r="E2" s="311"/>
      <c r="F2" s="311"/>
      <c r="G2" s="311"/>
      <c r="H2" s="311"/>
      <c r="I2" s="311"/>
      <c r="J2" s="311"/>
      <c r="K2" s="311"/>
      <c r="L2" s="311"/>
      <c r="M2" s="311"/>
      <c r="N2" s="311"/>
      <c r="O2" s="64"/>
      <c r="P2" s="64"/>
    </row>
    <row r="3" spans="2:57" ht="15" customHeight="1" x14ac:dyDescent="0.3">
      <c r="B3" s="151"/>
      <c r="C3" s="151"/>
      <c r="D3" s="151"/>
      <c r="E3" s="151"/>
      <c r="F3" s="151"/>
      <c r="G3" s="151"/>
      <c r="H3" s="151"/>
      <c r="I3" s="151"/>
      <c r="J3" s="151"/>
      <c r="K3" s="151"/>
      <c r="L3" s="151"/>
      <c r="M3" s="151"/>
      <c r="N3" s="20" t="str">
        <f>IF(M4="Part year","Enter days below","")</f>
        <v/>
      </c>
      <c r="O3" s="20"/>
      <c r="P3" s="20"/>
      <c r="S3" s="2" t="s">
        <v>1</v>
      </c>
    </row>
    <row r="4" spans="2:57" ht="15" customHeight="1" x14ac:dyDescent="0.3">
      <c r="B4" s="181"/>
      <c r="C4" s="201" t="s">
        <v>2</v>
      </c>
      <c r="D4" s="151"/>
      <c r="E4" s="365"/>
      <c r="F4" s="366"/>
      <c r="G4" s="366"/>
      <c r="H4" s="367"/>
      <c r="I4" s="151"/>
      <c r="J4" s="316" t="s">
        <v>3</v>
      </c>
      <c r="K4" s="321"/>
      <c r="L4" s="321"/>
      <c r="M4" s="254" t="s">
        <v>1</v>
      </c>
      <c r="N4" s="212">
        <f>Output!N2</f>
        <v>365</v>
      </c>
      <c r="O4" s="20"/>
      <c r="P4" s="213" t="s">
        <v>367</v>
      </c>
      <c r="S4" s="2" t="s">
        <v>4</v>
      </c>
    </row>
    <row r="5" spans="2:57" x14ac:dyDescent="0.3">
      <c r="P5" s="188"/>
    </row>
    <row r="6" spans="2:57" ht="15" customHeight="1" x14ac:dyDescent="0.3">
      <c r="B6" s="126"/>
      <c r="C6" s="313" t="s">
        <v>352</v>
      </c>
      <c r="D6" s="202"/>
      <c r="E6" s="316" t="s">
        <v>5</v>
      </c>
      <c r="F6" s="202"/>
      <c r="G6" s="316" t="s">
        <v>6</v>
      </c>
      <c r="H6" s="152"/>
      <c r="I6" s="368" t="s">
        <v>24</v>
      </c>
      <c r="J6" s="368"/>
      <c r="K6" s="368"/>
      <c r="L6" s="152"/>
      <c r="M6" s="201" t="s">
        <v>8</v>
      </c>
      <c r="N6" s="201" t="s">
        <v>9</v>
      </c>
      <c r="O6" s="46"/>
      <c r="P6" s="373" t="s">
        <v>130</v>
      </c>
      <c r="S6" s="2" t="s">
        <v>10</v>
      </c>
      <c r="X6" s="2" t="s">
        <v>131</v>
      </c>
      <c r="AE6" s="2" t="s">
        <v>132</v>
      </c>
      <c r="AM6" s="2" t="s">
        <v>133</v>
      </c>
      <c r="AS6" s="2" t="s">
        <v>134</v>
      </c>
      <c r="AZ6" s="2" t="s">
        <v>135</v>
      </c>
    </row>
    <row r="7" spans="2:57" ht="14.25" customHeight="1" x14ac:dyDescent="0.3">
      <c r="B7" s="153"/>
      <c r="C7" s="314"/>
      <c r="D7" s="201"/>
      <c r="E7" s="316"/>
      <c r="F7" s="201"/>
      <c r="G7" s="316"/>
      <c r="H7" s="26"/>
      <c r="I7" s="1" t="s">
        <v>11</v>
      </c>
      <c r="J7" s="1" t="s">
        <v>12</v>
      </c>
      <c r="K7" s="1" t="s">
        <v>13</v>
      </c>
      <c r="L7" s="201"/>
      <c r="M7" s="1" t="s">
        <v>14</v>
      </c>
      <c r="N7" s="154" t="s">
        <v>15</v>
      </c>
      <c r="O7" s="75"/>
      <c r="P7" s="373"/>
    </row>
    <row r="8" spans="2:57" x14ac:dyDescent="0.3">
      <c r="B8" s="155"/>
      <c r="C8" s="156" t="s">
        <v>16</v>
      </c>
      <c r="D8" s="156"/>
      <c r="E8" s="138" t="s">
        <v>17</v>
      </c>
      <c r="F8" s="138"/>
      <c r="G8" s="138"/>
      <c r="H8" s="137"/>
      <c r="I8" s="137"/>
      <c r="J8" s="137"/>
      <c r="K8" s="137"/>
      <c r="L8" s="137"/>
      <c r="M8" s="137"/>
      <c r="N8" s="157"/>
      <c r="O8" s="5"/>
      <c r="P8" s="374"/>
      <c r="S8" s="8" t="s">
        <v>18</v>
      </c>
      <c r="T8" s="8" t="s">
        <v>19</v>
      </c>
      <c r="U8" s="8" t="s">
        <v>20</v>
      </c>
      <c r="V8" s="8" t="s">
        <v>21</v>
      </c>
      <c r="X8" s="87" t="s">
        <v>22</v>
      </c>
      <c r="Y8" s="87">
        <v>0</v>
      </c>
      <c r="Z8" s="87">
        <v>0</v>
      </c>
      <c r="AA8" s="87">
        <v>0</v>
      </c>
      <c r="AB8" s="87">
        <v>0</v>
      </c>
      <c r="AC8" s="87" t="s">
        <v>22</v>
      </c>
      <c r="AD8" s="78"/>
      <c r="AE8" s="88" t="s">
        <v>22</v>
      </c>
      <c r="AF8" s="88">
        <v>0</v>
      </c>
      <c r="AG8" s="88">
        <v>0</v>
      </c>
      <c r="AH8" s="88">
        <v>0</v>
      </c>
      <c r="AI8" s="7">
        <v>0</v>
      </c>
      <c r="AJ8" s="7" t="s">
        <v>22</v>
      </c>
      <c r="AS8" s="8" t="s">
        <v>22</v>
      </c>
      <c r="AT8" s="8">
        <v>0</v>
      </c>
      <c r="AU8" s="8">
        <v>0</v>
      </c>
      <c r="AV8" s="8">
        <v>0</v>
      </c>
      <c r="AW8" s="8">
        <v>0</v>
      </c>
      <c r="AX8" s="8" t="s">
        <v>22</v>
      </c>
      <c r="AZ8" s="7" t="s">
        <v>22</v>
      </c>
      <c r="BA8" s="7">
        <v>0</v>
      </c>
      <c r="BB8" s="7">
        <v>0</v>
      </c>
      <c r="BC8" s="7">
        <v>0</v>
      </c>
      <c r="BD8" s="7">
        <v>0</v>
      </c>
      <c r="BE8" s="7" t="s">
        <v>22</v>
      </c>
    </row>
    <row r="9" spans="2:57" ht="15" customHeight="1" x14ac:dyDescent="0.3">
      <c r="B9" s="155"/>
      <c r="C9" s="214" t="s">
        <v>94</v>
      </c>
      <c r="D9" s="137"/>
      <c r="E9" s="298">
        <v>500</v>
      </c>
      <c r="F9" s="138"/>
      <c r="G9" s="20" t="str">
        <f>VLOOKUP(C9,Example!$X$8:$AC$35,6,FALSE)</f>
        <v>kL</v>
      </c>
      <c r="H9" s="139"/>
      <c r="I9" s="300">
        <f t="shared" ref="I9:K15" si="0">S9*$N9/1000</f>
        <v>0</v>
      </c>
      <c r="J9" s="300">
        <f t="shared" si="0"/>
        <v>13.84</v>
      </c>
      <c r="K9" s="300">
        <f t="shared" si="0"/>
        <v>29.41</v>
      </c>
      <c r="L9" s="300"/>
      <c r="M9" s="300">
        <f>SUM(I9:K9)</f>
        <v>43.25</v>
      </c>
      <c r="N9" s="301">
        <f>V9*E9</f>
        <v>17300</v>
      </c>
      <c r="O9" s="70"/>
      <c r="P9" s="70"/>
      <c r="S9" s="8">
        <f>VLOOKUP(C9,Example!$X$8:$AC$35,3,FALSE)</f>
        <v>0</v>
      </c>
      <c r="T9" s="8">
        <f>VLOOKUP(C9,Example!$X$8:$AC$35,4,FALSE)</f>
        <v>0.8</v>
      </c>
      <c r="U9" s="8">
        <f>VLOOKUP(C9,Example!$X$8:$AC$35,5,FALSE)</f>
        <v>1.7</v>
      </c>
      <c r="V9" s="8">
        <f>VLOOKUP(C9,Example!$X$8:$AC$35,2,FALSE)</f>
        <v>34.6</v>
      </c>
      <c r="X9" s="89" t="s">
        <v>94</v>
      </c>
      <c r="Y9" s="90">
        <v>34.6</v>
      </c>
      <c r="Z9" s="91">
        <v>0</v>
      </c>
      <c r="AA9" s="91">
        <v>0.8</v>
      </c>
      <c r="AB9" s="91">
        <v>1.7</v>
      </c>
      <c r="AC9" s="89" t="s">
        <v>74</v>
      </c>
      <c r="AE9" s="92" t="s">
        <v>137</v>
      </c>
      <c r="AF9" s="92">
        <v>29</v>
      </c>
      <c r="AG9" s="92">
        <v>90</v>
      </c>
      <c r="AH9" s="92">
        <v>0.04</v>
      </c>
      <c r="AI9" s="92">
        <v>0.2</v>
      </c>
      <c r="AJ9" s="7" t="s">
        <v>83</v>
      </c>
      <c r="AM9" s="87" t="s">
        <v>138</v>
      </c>
      <c r="AN9" s="93" t="s">
        <v>28</v>
      </c>
      <c r="AO9" s="93" t="s">
        <v>21</v>
      </c>
      <c r="AP9" s="93" t="s">
        <v>139</v>
      </c>
      <c r="AS9" s="94" t="s">
        <v>140</v>
      </c>
      <c r="AT9" s="95">
        <v>0</v>
      </c>
      <c r="AU9" s="95">
        <v>0</v>
      </c>
      <c r="AV9" s="95">
        <v>0</v>
      </c>
      <c r="AW9" s="95">
        <v>3.7699999999999997E-2</v>
      </c>
      <c r="AX9" s="96" t="s">
        <v>93</v>
      </c>
      <c r="AZ9" s="97" t="s">
        <v>140</v>
      </c>
      <c r="BA9" s="98">
        <v>0</v>
      </c>
      <c r="BB9" s="98">
        <v>0</v>
      </c>
      <c r="BC9" s="98">
        <v>0</v>
      </c>
      <c r="BD9" s="98">
        <v>3.7699999999999997E-2</v>
      </c>
      <c r="BE9" s="99" t="s">
        <v>93</v>
      </c>
    </row>
    <row r="10" spans="2:57" ht="15" customHeight="1" x14ac:dyDescent="0.3">
      <c r="B10" s="155"/>
      <c r="C10" s="214" t="s">
        <v>141</v>
      </c>
      <c r="D10" s="137"/>
      <c r="E10" s="299">
        <v>1000</v>
      </c>
      <c r="F10" s="138"/>
      <c r="G10" s="20" t="str">
        <f>VLOOKUP(C10,Example!$X$8:$AC$35,6,FALSE)</f>
        <v>kL</v>
      </c>
      <c r="H10" s="139"/>
      <c r="I10" s="300">
        <f t="shared" si="0"/>
        <v>2217.6999999999998</v>
      </c>
      <c r="J10" s="300">
        <f t="shared" si="0"/>
        <v>1.986</v>
      </c>
      <c r="K10" s="300">
        <f t="shared" si="0"/>
        <v>19.86</v>
      </c>
      <c r="L10" s="300"/>
      <c r="M10" s="300">
        <f t="shared" ref="M10:M15" si="1">SUM(I10:K10)</f>
        <v>2239.5459999999998</v>
      </c>
      <c r="N10" s="301">
        <f t="shared" ref="N10:N15" si="2">V10*E10</f>
        <v>33100</v>
      </c>
      <c r="O10" s="70"/>
      <c r="P10" s="70"/>
      <c r="S10" s="8" t="str">
        <f>VLOOKUP(C10,Example!$X$8:$AC$35,3,FALSE)</f>
        <v>67.0</v>
      </c>
      <c r="T10" s="8">
        <f>VLOOKUP(C10,Example!$X$8:$AC$35,4,FALSE)</f>
        <v>0.06</v>
      </c>
      <c r="U10" s="8">
        <f>VLOOKUP(C10,Example!$X$8:$AC$35,5,FALSE)</f>
        <v>0.6</v>
      </c>
      <c r="V10" s="8" t="str">
        <f>VLOOKUP(C10,Example!$X$8:$AC$35,2,FALSE)</f>
        <v>33.1</v>
      </c>
      <c r="X10" s="89" t="s">
        <v>142</v>
      </c>
      <c r="Y10" s="90">
        <v>23.4</v>
      </c>
      <c r="Z10" s="91">
        <v>0</v>
      </c>
      <c r="AA10" s="91">
        <v>0.8</v>
      </c>
      <c r="AB10" s="91">
        <v>1.7</v>
      </c>
      <c r="AC10" s="89" t="s">
        <v>74</v>
      </c>
      <c r="AE10" s="92" t="s">
        <v>143</v>
      </c>
      <c r="AF10" s="92">
        <v>9.6</v>
      </c>
      <c r="AG10" s="92">
        <v>0</v>
      </c>
      <c r="AH10" s="92">
        <v>0.3</v>
      </c>
      <c r="AI10" s="92">
        <v>1.1000000000000001</v>
      </c>
      <c r="AJ10" s="7" t="s">
        <v>83</v>
      </c>
      <c r="AM10" s="87" t="s">
        <v>22</v>
      </c>
      <c r="AN10" s="87">
        <v>0</v>
      </c>
      <c r="AO10" s="87">
        <v>0</v>
      </c>
      <c r="AP10" s="87">
        <v>0</v>
      </c>
      <c r="AR10" s="2" t="s">
        <v>144</v>
      </c>
      <c r="AS10" s="94" t="s">
        <v>137</v>
      </c>
      <c r="AT10" s="95">
        <v>0</v>
      </c>
      <c r="AU10" s="95">
        <v>0</v>
      </c>
      <c r="AV10" s="95">
        <v>0</v>
      </c>
      <c r="AW10" s="95">
        <v>29</v>
      </c>
      <c r="AX10" s="96" t="s">
        <v>83</v>
      </c>
      <c r="AY10" s="2" t="s">
        <v>144</v>
      </c>
      <c r="AZ10" s="97" t="s">
        <v>137</v>
      </c>
      <c r="BA10" s="98">
        <v>0</v>
      </c>
      <c r="BB10" s="98">
        <v>0</v>
      </c>
      <c r="BC10" s="98">
        <v>0</v>
      </c>
      <c r="BD10" s="98">
        <v>29</v>
      </c>
      <c r="BE10" s="99" t="s">
        <v>83</v>
      </c>
    </row>
    <row r="11" spans="2:57" ht="15" customHeight="1" x14ac:dyDescent="0.3">
      <c r="B11" s="155"/>
      <c r="C11" s="214" t="s">
        <v>22</v>
      </c>
      <c r="D11" s="137"/>
      <c r="E11" s="299"/>
      <c r="F11" s="138"/>
      <c r="G11" s="20" t="str">
        <f>VLOOKUP(C11,Example!$X$8:$AC$35,6,FALSE)</f>
        <v>-</v>
      </c>
      <c r="H11" s="139"/>
      <c r="I11" s="300">
        <f t="shared" si="0"/>
        <v>0</v>
      </c>
      <c r="J11" s="300">
        <f t="shared" si="0"/>
        <v>0</v>
      </c>
      <c r="K11" s="300">
        <f t="shared" si="0"/>
        <v>0</v>
      </c>
      <c r="L11" s="300"/>
      <c r="M11" s="300">
        <f>SUM(I11:K11)</f>
        <v>0</v>
      </c>
      <c r="N11" s="301">
        <f>V11*E11</f>
        <v>0</v>
      </c>
      <c r="O11" s="70"/>
      <c r="P11" s="70"/>
      <c r="S11" s="8">
        <f>VLOOKUP(C11,Example!$X$8:$AC$35,3,FALSE)</f>
        <v>0</v>
      </c>
      <c r="T11" s="8">
        <f>VLOOKUP(C11,Example!$X$8:$AC$35,4,FALSE)</f>
        <v>0</v>
      </c>
      <c r="U11" s="8">
        <f>VLOOKUP(C11,Example!$X$8:$AC$35,5,FALSE)</f>
        <v>0</v>
      </c>
      <c r="V11" s="8">
        <f>VLOOKUP(C11,Example!$X$8:$AC$35,2,FALSE)</f>
        <v>0</v>
      </c>
      <c r="X11" s="89" t="s">
        <v>145</v>
      </c>
      <c r="Y11" s="90" t="s">
        <v>146</v>
      </c>
      <c r="Z11" s="100" t="s">
        <v>147</v>
      </c>
      <c r="AA11" s="100" t="s">
        <v>148</v>
      </c>
      <c r="AB11" s="100">
        <v>0.5</v>
      </c>
      <c r="AC11" s="89" t="s">
        <v>74</v>
      </c>
      <c r="AE11" s="92" t="s">
        <v>94</v>
      </c>
      <c r="AF11" s="92">
        <v>34.6</v>
      </c>
      <c r="AG11" s="92">
        <v>0</v>
      </c>
      <c r="AH11" s="92">
        <v>0.08</v>
      </c>
      <c r="AI11" s="92">
        <v>0.2</v>
      </c>
      <c r="AJ11" s="101" t="s">
        <v>74</v>
      </c>
      <c r="AM11" s="87" t="s">
        <v>149</v>
      </c>
      <c r="AN11" s="293">
        <v>0.64</v>
      </c>
      <c r="AO11" s="87">
        <v>3.5999999999999999E-3</v>
      </c>
      <c r="AP11" s="87">
        <f>AN11/AO11</f>
        <v>177.7777777777778</v>
      </c>
      <c r="AR11" s="2" t="s">
        <v>144</v>
      </c>
      <c r="AS11" s="94" t="s">
        <v>143</v>
      </c>
      <c r="AT11" s="95">
        <v>0</v>
      </c>
      <c r="AU11" s="95">
        <v>0</v>
      </c>
      <c r="AV11" s="95">
        <v>0</v>
      </c>
      <c r="AW11" s="95">
        <v>9.6</v>
      </c>
      <c r="AX11" s="96" t="s">
        <v>83</v>
      </c>
      <c r="AY11" s="2" t="s">
        <v>144</v>
      </c>
      <c r="AZ11" s="97" t="s">
        <v>143</v>
      </c>
      <c r="BA11" s="98">
        <v>0</v>
      </c>
      <c r="BB11" s="98">
        <v>0</v>
      </c>
      <c r="BC11" s="98">
        <v>0</v>
      </c>
      <c r="BD11" s="98">
        <v>9.6</v>
      </c>
      <c r="BE11" s="99" t="s">
        <v>83</v>
      </c>
    </row>
    <row r="12" spans="2:57" ht="15" customHeight="1" x14ac:dyDescent="0.3">
      <c r="B12" s="155"/>
      <c r="C12" s="214" t="s">
        <v>22</v>
      </c>
      <c r="D12" s="137"/>
      <c r="E12" s="299"/>
      <c r="F12" s="138"/>
      <c r="G12" s="20" t="str">
        <f>VLOOKUP(C12,Example!$X$8:$AC$35,6,FALSE)</f>
        <v>-</v>
      </c>
      <c r="H12" s="139"/>
      <c r="I12" s="300">
        <f t="shared" si="0"/>
        <v>0</v>
      </c>
      <c r="J12" s="300">
        <f t="shared" si="0"/>
        <v>0</v>
      </c>
      <c r="K12" s="300">
        <f t="shared" si="0"/>
        <v>0</v>
      </c>
      <c r="L12" s="300"/>
      <c r="M12" s="300">
        <f>SUM(I12:K12)</f>
        <v>0</v>
      </c>
      <c r="N12" s="301">
        <f>V12*E12</f>
        <v>0</v>
      </c>
      <c r="O12" s="70"/>
      <c r="P12" s="70"/>
      <c r="S12" s="8">
        <f>VLOOKUP(C12,Example!$X$8:$AC$35,3,FALSE)</f>
        <v>0</v>
      </c>
      <c r="T12" s="8">
        <f>VLOOKUP(C12,Example!$X$8:$AC$35,4,FALSE)</f>
        <v>0</v>
      </c>
      <c r="U12" s="8">
        <f>VLOOKUP(C12,Example!$X$8:$AC$35,5,FALSE)</f>
        <v>0</v>
      </c>
      <c r="V12" s="8">
        <f>VLOOKUP(C12,Example!$X$8:$AC$35,2,FALSE)</f>
        <v>0</v>
      </c>
      <c r="X12" s="89" t="s">
        <v>136</v>
      </c>
      <c r="Y12" s="90" t="s">
        <v>146</v>
      </c>
      <c r="Z12" s="91" t="s">
        <v>147</v>
      </c>
      <c r="AA12" s="91" t="s">
        <v>150</v>
      </c>
      <c r="AB12" s="91">
        <v>0.4</v>
      </c>
      <c r="AC12" s="89" t="s">
        <v>74</v>
      </c>
      <c r="AE12" s="92" t="s">
        <v>151</v>
      </c>
      <c r="AF12" s="92">
        <v>12.2</v>
      </c>
      <c r="AG12" s="92">
        <v>0</v>
      </c>
      <c r="AH12" s="92">
        <v>0.8</v>
      </c>
      <c r="AI12" s="92">
        <v>1</v>
      </c>
      <c r="AJ12" s="7" t="s">
        <v>83</v>
      </c>
      <c r="AM12" s="87" t="s">
        <v>152</v>
      </c>
      <c r="AN12" s="293">
        <v>0.64</v>
      </c>
      <c r="AO12" s="87">
        <v>3.5999999999999999E-3</v>
      </c>
      <c r="AP12" s="87">
        <f t="shared" ref="AP12:AP19" si="3">AN12/AO12</f>
        <v>177.7777777777778</v>
      </c>
      <c r="AS12" s="94" t="s">
        <v>94</v>
      </c>
      <c r="AT12" s="95">
        <v>0</v>
      </c>
      <c r="AU12" s="95">
        <v>0</v>
      </c>
      <c r="AV12" s="95">
        <v>0</v>
      </c>
      <c r="AW12" s="95">
        <v>34.6</v>
      </c>
      <c r="AX12" s="96" t="s">
        <v>74</v>
      </c>
      <c r="AZ12" s="97" t="s">
        <v>94</v>
      </c>
      <c r="BA12" s="98">
        <v>0</v>
      </c>
      <c r="BB12" s="98">
        <v>0</v>
      </c>
      <c r="BC12" s="98">
        <v>0</v>
      </c>
      <c r="BD12" s="98">
        <v>34.6</v>
      </c>
      <c r="BE12" s="99" t="s">
        <v>74</v>
      </c>
    </row>
    <row r="13" spans="2:57" ht="15" customHeight="1" x14ac:dyDescent="0.3">
      <c r="B13" s="155"/>
      <c r="C13" s="214" t="s">
        <v>22</v>
      </c>
      <c r="D13" s="137"/>
      <c r="E13" s="299"/>
      <c r="F13" s="138"/>
      <c r="G13" s="20" t="str">
        <f>VLOOKUP(C13,Example!$X$8:$AC$35,6,FALSE)</f>
        <v>-</v>
      </c>
      <c r="H13" s="139"/>
      <c r="I13" s="300">
        <f t="shared" si="0"/>
        <v>0</v>
      </c>
      <c r="J13" s="300">
        <f t="shared" si="0"/>
        <v>0</v>
      </c>
      <c r="K13" s="300">
        <f t="shared" si="0"/>
        <v>0</v>
      </c>
      <c r="L13" s="300"/>
      <c r="M13" s="300">
        <f>SUM(I13:K13)</f>
        <v>0</v>
      </c>
      <c r="N13" s="301">
        <f>V13*E13</f>
        <v>0</v>
      </c>
      <c r="O13" s="70"/>
      <c r="P13" s="70"/>
      <c r="S13" s="8">
        <f>VLOOKUP(C13,Example!$X$8:$AC$35,3,FALSE)</f>
        <v>0</v>
      </c>
      <c r="T13" s="8">
        <f>VLOOKUP(C13,Example!$X$8:$AC$35,4,FALSE)</f>
        <v>0</v>
      </c>
      <c r="U13" s="8">
        <f>VLOOKUP(C13,Example!$X$8:$AC$35,5,FALSE)</f>
        <v>0</v>
      </c>
      <c r="V13" s="8">
        <f>VLOOKUP(C13,Example!$X$8:$AC$35,2,FALSE)</f>
        <v>0</v>
      </c>
      <c r="X13" s="89" t="s">
        <v>153</v>
      </c>
      <c r="Y13" s="90" t="s">
        <v>146</v>
      </c>
      <c r="Z13" s="100" t="s">
        <v>147</v>
      </c>
      <c r="AA13" s="100">
        <v>0.2</v>
      </c>
      <c r="AB13" s="100">
        <v>0.4</v>
      </c>
      <c r="AC13" s="89" t="s">
        <v>74</v>
      </c>
      <c r="AE13" s="92" t="s">
        <v>154</v>
      </c>
      <c r="AF13" s="92">
        <v>27</v>
      </c>
      <c r="AG13" s="92">
        <v>90</v>
      </c>
      <c r="AH13" s="92">
        <v>0.04</v>
      </c>
      <c r="AI13" s="92">
        <v>0.2</v>
      </c>
      <c r="AJ13" s="7" t="s">
        <v>83</v>
      </c>
      <c r="AM13" s="87" t="s">
        <v>155</v>
      </c>
      <c r="AN13" s="293">
        <v>0.78</v>
      </c>
      <c r="AO13" s="87">
        <v>3.5999999999999999E-3</v>
      </c>
      <c r="AP13" s="87">
        <f t="shared" si="3"/>
        <v>216.66666666666669</v>
      </c>
      <c r="AS13" s="94" t="s">
        <v>142</v>
      </c>
      <c r="AT13" s="95">
        <v>0</v>
      </c>
      <c r="AU13" s="95">
        <v>0</v>
      </c>
      <c r="AV13" s="95">
        <v>0</v>
      </c>
      <c r="AW13" s="95">
        <v>23.4</v>
      </c>
      <c r="AX13" s="96" t="s">
        <v>74</v>
      </c>
      <c r="AZ13" s="97" t="s">
        <v>142</v>
      </c>
      <c r="BA13" s="98">
        <v>0</v>
      </c>
      <c r="BB13" s="98">
        <v>0</v>
      </c>
      <c r="BC13" s="98">
        <v>0</v>
      </c>
      <c r="BD13" s="98">
        <v>23.4</v>
      </c>
      <c r="BE13" s="99" t="s">
        <v>74</v>
      </c>
    </row>
    <row r="14" spans="2:57" ht="15" customHeight="1" x14ac:dyDescent="0.3">
      <c r="B14" s="155"/>
      <c r="C14" s="214" t="s">
        <v>22</v>
      </c>
      <c r="D14" s="137"/>
      <c r="E14" s="299"/>
      <c r="F14" s="138"/>
      <c r="G14" s="20" t="str">
        <f>VLOOKUP(C14,Example!$X$8:$AC$35,6,FALSE)</f>
        <v>-</v>
      </c>
      <c r="H14" s="139"/>
      <c r="I14" s="300">
        <f t="shared" si="0"/>
        <v>0</v>
      </c>
      <c r="J14" s="300">
        <f t="shared" si="0"/>
        <v>0</v>
      </c>
      <c r="K14" s="300">
        <f t="shared" si="0"/>
        <v>0</v>
      </c>
      <c r="L14" s="300"/>
      <c r="M14" s="300">
        <f t="shared" si="1"/>
        <v>0</v>
      </c>
      <c r="N14" s="301">
        <f t="shared" si="2"/>
        <v>0</v>
      </c>
      <c r="O14" s="70"/>
      <c r="P14" s="70"/>
      <c r="S14" s="8">
        <f>VLOOKUP(C14,Example!$X$8:$AC$35,3,FALSE)</f>
        <v>0</v>
      </c>
      <c r="T14" s="8">
        <f>VLOOKUP(C14,Example!$X$8:$AC$35,4,FALSE)</f>
        <v>0</v>
      </c>
      <c r="U14" s="8">
        <f>VLOOKUP(C14,Example!$X$8:$AC$35,5,FALSE)</f>
        <v>0</v>
      </c>
      <c r="V14" s="8">
        <f>VLOOKUP(C14,Example!$X$8:$AC$35,2,FALSE)</f>
        <v>0</v>
      </c>
      <c r="X14" s="89" t="s">
        <v>156</v>
      </c>
      <c r="Y14" s="90" t="s">
        <v>146</v>
      </c>
      <c r="Z14" s="100" t="s">
        <v>147</v>
      </c>
      <c r="AA14" s="100">
        <v>0.1</v>
      </c>
      <c r="AB14" s="100">
        <v>0.4</v>
      </c>
      <c r="AC14" s="89" t="s">
        <v>74</v>
      </c>
      <c r="AE14" s="92" t="s">
        <v>157</v>
      </c>
      <c r="AF14" s="92">
        <v>4.0000000000000001E-3</v>
      </c>
      <c r="AG14" s="92">
        <v>234</v>
      </c>
      <c r="AH14" s="92">
        <v>0.03</v>
      </c>
      <c r="AI14" s="92">
        <v>0.02</v>
      </c>
      <c r="AJ14" s="7" t="s">
        <v>93</v>
      </c>
      <c r="AM14" s="87" t="s">
        <v>158</v>
      </c>
      <c r="AN14" s="293">
        <v>0.2</v>
      </c>
      <c r="AO14" s="87">
        <v>3.5999999999999999E-3</v>
      </c>
      <c r="AP14" s="87">
        <f t="shared" si="3"/>
        <v>55.555555555555557</v>
      </c>
      <c r="AR14" s="2" t="s">
        <v>144</v>
      </c>
      <c r="AS14" s="94" t="s">
        <v>151</v>
      </c>
      <c r="AT14" s="95">
        <v>0</v>
      </c>
      <c r="AU14" s="95">
        <v>0</v>
      </c>
      <c r="AV14" s="95">
        <v>0</v>
      </c>
      <c r="AW14" s="95">
        <v>12.2</v>
      </c>
      <c r="AX14" s="96" t="s">
        <v>83</v>
      </c>
      <c r="AY14" s="2" t="s">
        <v>144</v>
      </c>
      <c r="AZ14" s="97" t="s">
        <v>151</v>
      </c>
      <c r="BA14" s="98">
        <v>0</v>
      </c>
      <c r="BB14" s="98">
        <v>0</v>
      </c>
      <c r="BC14" s="98">
        <v>0</v>
      </c>
      <c r="BD14" s="98">
        <v>12.2</v>
      </c>
      <c r="BE14" s="99" t="s">
        <v>83</v>
      </c>
    </row>
    <row r="15" spans="2:57" ht="15" customHeight="1" x14ac:dyDescent="0.3">
      <c r="B15" s="155"/>
      <c r="C15" s="214" t="s">
        <v>22</v>
      </c>
      <c r="D15" s="137"/>
      <c r="E15" s="299"/>
      <c r="F15" s="138"/>
      <c r="G15" s="20" t="str">
        <f>VLOOKUP(C15,Example!$X$8:$AC$35,6,FALSE)</f>
        <v>-</v>
      </c>
      <c r="H15" s="139"/>
      <c r="I15" s="300">
        <f t="shared" si="0"/>
        <v>0</v>
      </c>
      <c r="J15" s="300">
        <f t="shared" si="0"/>
        <v>0</v>
      </c>
      <c r="K15" s="300">
        <f t="shared" si="0"/>
        <v>0</v>
      </c>
      <c r="L15" s="300"/>
      <c r="M15" s="300">
        <f t="shared" si="1"/>
        <v>0</v>
      </c>
      <c r="N15" s="301">
        <f t="shared" si="2"/>
        <v>0</v>
      </c>
      <c r="O15" s="70"/>
      <c r="P15" s="70"/>
      <c r="S15" s="8">
        <f>VLOOKUP(C15,Example!$X$8:$AC$35,3,FALSE)</f>
        <v>0</v>
      </c>
      <c r="T15" s="8">
        <f>VLOOKUP(C15,Example!$X$8:$AC$35,4,FALSE)</f>
        <v>0</v>
      </c>
      <c r="U15" s="8">
        <f>VLOOKUP(C15,Example!$X$8:$AC$35,5,FALSE)</f>
        <v>0</v>
      </c>
      <c r="V15" s="8">
        <f>VLOOKUP(C15,Example!$X$8:$AC$35,2,FALSE)</f>
        <v>0</v>
      </c>
      <c r="X15" s="89" t="s">
        <v>159</v>
      </c>
      <c r="Y15" s="90" t="s">
        <v>146</v>
      </c>
      <c r="Z15" s="100" t="s">
        <v>147</v>
      </c>
      <c r="AA15" s="100">
        <v>7.0000000000000007E-2</v>
      </c>
      <c r="AB15" s="100">
        <v>0.4</v>
      </c>
      <c r="AC15" s="89" t="s">
        <v>74</v>
      </c>
      <c r="AE15" s="92" t="s">
        <v>160</v>
      </c>
      <c r="AF15" s="92">
        <v>10.199999999999999</v>
      </c>
      <c r="AG15" s="92">
        <v>93.5</v>
      </c>
      <c r="AH15" s="92">
        <v>0.02</v>
      </c>
      <c r="AI15" s="92">
        <v>0.3</v>
      </c>
      <c r="AJ15" s="7" t="s">
        <v>83</v>
      </c>
      <c r="AM15" s="87" t="s">
        <v>161</v>
      </c>
      <c r="AN15" s="293">
        <v>0.22</v>
      </c>
      <c r="AO15" s="87">
        <v>3.5999999999999999E-3</v>
      </c>
      <c r="AP15" s="87">
        <f t="shared" si="3"/>
        <v>61.111111111111114</v>
      </c>
      <c r="AS15" s="94" t="s">
        <v>162</v>
      </c>
      <c r="AT15" s="95">
        <v>0</v>
      </c>
      <c r="AU15" s="95">
        <v>0</v>
      </c>
      <c r="AV15" s="95">
        <v>0</v>
      </c>
      <c r="AW15" s="95">
        <v>43.2</v>
      </c>
      <c r="AX15" s="96" t="s">
        <v>83</v>
      </c>
      <c r="AZ15" s="102" t="s">
        <v>120</v>
      </c>
      <c r="BA15" s="98">
        <v>0</v>
      </c>
      <c r="BB15" s="98">
        <v>0</v>
      </c>
      <c r="BC15" s="98">
        <v>0</v>
      </c>
      <c r="BD15" s="102">
        <v>43.2</v>
      </c>
      <c r="BE15" s="7" t="s">
        <v>83</v>
      </c>
    </row>
    <row r="16" spans="2:57" ht="15" customHeight="1" x14ac:dyDescent="0.3">
      <c r="B16" s="158"/>
      <c r="C16" s="141"/>
      <c r="D16" s="141"/>
      <c r="E16" s="142"/>
      <c r="F16" s="142"/>
      <c r="G16" s="312" t="s">
        <v>23</v>
      </c>
      <c r="H16" s="312"/>
      <c r="I16" s="312"/>
      <c r="J16" s="312"/>
      <c r="K16" s="312"/>
      <c r="L16" s="312"/>
      <c r="M16" s="302">
        <f>SUM(M9:M15)</f>
        <v>2282.7959999999998</v>
      </c>
      <c r="N16" s="302">
        <f>SUM(N9:N15)</f>
        <v>50400</v>
      </c>
      <c r="O16" s="6"/>
      <c r="P16" s="6"/>
      <c r="X16" s="89" t="s">
        <v>163</v>
      </c>
      <c r="Y16" s="90" t="s">
        <v>164</v>
      </c>
      <c r="Z16" s="100">
        <v>0</v>
      </c>
      <c r="AA16" s="100">
        <v>0.2</v>
      </c>
      <c r="AB16" s="100">
        <v>0.2</v>
      </c>
      <c r="AC16" s="89" t="s">
        <v>74</v>
      </c>
      <c r="AE16" s="92" t="s">
        <v>165</v>
      </c>
      <c r="AF16" s="92">
        <v>31.1</v>
      </c>
      <c r="AG16" s="92">
        <v>0</v>
      </c>
      <c r="AH16" s="92">
        <v>5.3</v>
      </c>
      <c r="AI16" s="92">
        <v>1</v>
      </c>
      <c r="AJ16" s="7" t="s">
        <v>83</v>
      </c>
      <c r="AM16" s="87" t="s">
        <v>166</v>
      </c>
      <c r="AN16" s="293">
        <v>0.5</v>
      </c>
      <c r="AO16" s="87">
        <v>3.5999999999999999E-3</v>
      </c>
      <c r="AP16" s="87">
        <f t="shared" si="3"/>
        <v>138.88888888888889</v>
      </c>
      <c r="AS16" s="94" t="s">
        <v>154</v>
      </c>
      <c r="AT16" s="95">
        <v>0</v>
      </c>
      <c r="AU16" s="95">
        <v>0</v>
      </c>
      <c r="AV16" s="95">
        <v>0</v>
      </c>
      <c r="AW16" s="95">
        <v>27</v>
      </c>
      <c r="AX16" s="96" t="s">
        <v>83</v>
      </c>
      <c r="AZ16" s="97" t="s">
        <v>162</v>
      </c>
      <c r="BA16" s="98">
        <v>0</v>
      </c>
      <c r="BB16" s="98">
        <v>0</v>
      </c>
      <c r="BC16" s="98">
        <v>0</v>
      </c>
      <c r="BD16" s="98">
        <v>43.2</v>
      </c>
      <c r="BE16" s="99" t="s">
        <v>83</v>
      </c>
    </row>
    <row r="17" spans="2:57" ht="15" customHeight="1" x14ac:dyDescent="0.3">
      <c r="E17" s="20"/>
      <c r="F17" s="20"/>
      <c r="G17" s="20"/>
      <c r="O17" s="5"/>
      <c r="P17" s="5"/>
      <c r="X17" s="89" t="s">
        <v>167</v>
      </c>
      <c r="Y17" s="90" t="s">
        <v>164</v>
      </c>
      <c r="Z17" s="100">
        <v>0</v>
      </c>
      <c r="AA17" s="100">
        <v>0.8</v>
      </c>
      <c r="AB17" s="100">
        <v>1.7</v>
      </c>
      <c r="AC17" s="89" t="s">
        <v>74</v>
      </c>
      <c r="AE17" s="92" t="s">
        <v>168</v>
      </c>
      <c r="AF17" s="92">
        <v>22.1</v>
      </c>
      <c r="AG17" s="92">
        <v>95</v>
      </c>
      <c r="AH17" s="92">
        <v>0.08</v>
      </c>
      <c r="AI17" s="92">
        <v>0.2</v>
      </c>
      <c r="AJ17" s="7" t="s">
        <v>83</v>
      </c>
      <c r="AM17" s="87" t="s">
        <v>169</v>
      </c>
      <c r="AN17" s="293">
        <v>0.56000000000000005</v>
      </c>
      <c r="AO17" s="87">
        <v>3.5999999999999999E-3</v>
      </c>
      <c r="AP17" s="87">
        <f t="shared" si="3"/>
        <v>155.55555555555557</v>
      </c>
      <c r="AS17" s="94" t="s">
        <v>157</v>
      </c>
      <c r="AT17" s="95">
        <v>0</v>
      </c>
      <c r="AU17" s="95">
        <v>0</v>
      </c>
      <c r="AV17" s="95">
        <v>0</v>
      </c>
      <c r="AW17" s="95">
        <v>4.0000000000000001E-3</v>
      </c>
      <c r="AX17" s="96" t="s">
        <v>93</v>
      </c>
      <c r="AZ17" s="97" t="s">
        <v>154</v>
      </c>
      <c r="BA17" s="98">
        <v>0</v>
      </c>
      <c r="BB17" s="98">
        <v>0</v>
      </c>
      <c r="BC17" s="98">
        <v>0</v>
      </c>
      <c r="BD17" s="98">
        <v>27</v>
      </c>
      <c r="BE17" s="99" t="s">
        <v>83</v>
      </c>
    </row>
    <row r="18" spans="2:57" ht="15" customHeight="1" x14ac:dyDescent="0.3">
      <c r="B18" s="126"/>
      <c r="C18" s="313" t="s">
        <v>353</v>
      </c>
      <c r="D18" s="202"/>
      <c r="E18" s="315" t="s">
        <v>5</v>
      </c>
      <c r="F18" s="202"/>
      <c r="G18" s="316" t="s">
        <v>6</v>
      </c>
      <c r="H18" s="152"/>
      <c r="I18" s="368" t="s">
        <v>24</v>
      </c>
      <c r="J18" s="368"/>
      <c r="K18" s="368"/>
      <c r="L18" s="152"/>
      <c r="M18" s="201" t="s">
        <v>8</v>
      </c>
      <c r="N18" s="201" t="s">
        <v>9</v>
      </c>
      <c r="O18" s="46"/>
      <c r="P18" s="46"/>
      <c r="X18" s="89" t="s">
        <v>170</v>
      </c>
      <c r="Y18" s="90" t="s">
        <v>171</v>
      </c>
      <c r="Z18" s="91" t="s">
        <v>172</v>
      </c>
      <c r="AA18" s="91">
        <v>0.08</v>
      </c>
      <c r="AB18" s="91">
        <v>0.5</v>
      </c>
      <c r="AC18" s="89" t="s">
        <v>74</v>
      </c>
      <c r="AE18" s="92" t="s">
        <v>173</v>
      </c>
      <c r="AF18" s="92">
        <v>27</v>
      </c>
      <c r="AG18" s="92">
        <v>107</v>
      </c>
      <c r="AH18" s="92">
        <v>0.03</v>
      </c>
      <c r="AI18" s="92">
        <v>0.2</v>
      </c>
      <c r="AJ18" s="7" t="s">
        <v>83</v>
      </c>
      <c r="AM18" s="87" t="s">
        <v>174</v>
      </c>
      <c r="AN18" s="293">
        <v>0.67</v>
      </c>
      <c r="AO18" s="87">
        <v>3.5999999999999999E-3</v>
      </c>
      <c r="AP18" s="87">
        <f t="shared" si="3"/>
        <v>186.11111111111111</v>
      </c>
      <c r="AS18" s="94" t="s">
        <v>160</v>
      </c>
      <c r="AT18" s="95">
        <v>0</v>
      </c>
      <c r="AU18" s="95">
        <v>0</v>
      </c>
      <c r="AV18" s="95">
        <v>0</v>
      </c>
      <c r="AW18" s="95">
        <v>10.199999999999999</v>
      </c>
      <c r="AX18" s="96" t="s">
        <v>83</v>
      </c>
      <c r="AZ18" s="97" t="s">
        <v>157</v>
      </c>
      <c r="BA18" s="98">
        <v>0</v>
      </c>
      <c r="BB18" s="98">
        <v>0</v>
      </c>
      <c r="BC18" s="98">
        <v>0</v>
      </c>
      <c r="BD18" s="98">
        <v>4.0000000000000001E-3</v>
      </c>
      <c r="BE18" s="99" t="s">
        <v>93</v>
      </c>
    </row>
    <row r="19" spans="2:57" ht="15.75" customHeight="1" x14ac:dyDescent="0.3">
      <c r="B19" s="153"/>
      <c r="C19" s="314"/>
      <c r="D19" s="201"/>
      <c r="E19" s="316"/>
      <c r="F19" s="201"/>
      <c r="G19" s="316"/>
      <c r="H19" s="26"/>
      <c r="I19" s="1" t="s">
        <v>11</v>
      </c>
      <c r="J19" s="1" t="s">
        <v>12</v>
      </c>
      <c r="K19" s="1" t="s">
        <v>13</v>
      </c>
      <c r="L19" s="201"/>
      <c r="M19" s="1" t="s">
        <v>14</v>
      </c>
      <c r="N19" s="154" t="s">
        <v>15</v>
      </c>
      <c r="O19" s="75"/>
      <c r="P19" s="75"/>
      <c r="X19" s="89" t="s">
        <v>175</v>
      </c>
      <c r="Y19" s="90" t="s">
        <v>82</v>
      </c>
      <c r="Z19" s="91" t="s">
        <v>176</v>
      </c>
      <c r="AA19" s="91">
        <v>0.02</v>
      </c>
      <c r="AB19" s="91">
        <v>0.2</v>
      </c>
      <c r="AC19" s="89" t="s">
        <v>74</v>
      </c>
      <c r="AE19" s="92" t="s">
        <v>177</v>
      </c>
      <c r="AF19" s="92">
        <v>3.7699999999999997E-2</v>
      </c>
      <c r="AG19" s="92">
        <v>51.9</v>
      </c>
      <c r="AH19" s="92">
        <v>4.5999999999999996</v>
      </c>
      <c r="AI19" s="92">
        <v>0.03</v>
      </c>
      <c r="AJ19" s="7" t="s">
        <v>93</v>
      </c>
      <c r="AM19" s="87" t="s">
        <v>178</v>
      </c>
      <c r="AN19" s="293">
        <v>0.56000000000000005</v>
      </c>
      <c r="AO19" s="87">
        <v>3.5999999999999999E-3</v>
      </c>
      <c r="AP19" s="87">
        <f t="shared" si="3"/>
        <v>155.55555555555557</v>
      </c>
      <c r="AS19" s="94" t="s">
        <v>179</v>
      </c>
      <c r="AT19" s="95">
        <v>0</v>
      </c>
      <c r="AU19" s="95">
        <v>0</v>
      </c>
      <c r="AV19" s="95">
        <v>0</v>
      </c>
      <c r="AW19" s="95">
        <v>37.1</v>
      </c>
      <c r="AX19" s="96" t="s">
        <v>83</v>
      </c>
      <c r="AZ19" s="97" t="s">
        <v>160</v>
      </c>
      <c r="BA19" s="98">
        <v>0</v>
      </c>
      <c r="BB19" s="98">
        <v>0</v>
      </c>
      <c r="BC19" s="98">
        <v>0</v>
      </c>
      <c r="BD19" s="98">
        <v>10.199999999999999</v>
      </c>
      <c r="BE19" s="99" t="s">
        <v>83</v>
      </c>
    </row>
    <row r="20" spans="2:57" ht="15" customHeight="1" x14ac:dyDescent="0.3">
      <c r="B20" s="155"/>
      <c r="C20" s="156" t="s">
        <v>16</v>
      </c>
      <c r="D20" s="156"/>
      <c r="E20" s="138" t="s">
        <v>17</v>
      </c>
      <c r="F20" s="138"/>
      <c r="G20" s="138"/>
      <c r="H20" s="137"/>
      <c r="I20" s="137"/>
      <c r="J20" s="137"/>
      <c r="K20" s="137"/>
      <c r="L20" s="137"/>
      <c r="M20" s="137"/>
      <c r="N20" s="157"/>
      <c r="O20" s="5"/>
      <c r="P20" s="5"/>
      <c r="S20" s="8" t="s">
        <v>18</v>
      </c>
      <c r="T20" s="8" t="s">
        <v>19</v>
      </c>
      <c r="U20" s="8" t="s">
        <v>20</v>
      </c>
      <c r="V20" s="8" t="s">
        <v>21</v>
      </c>
      <c r="X20" s="89" t="s">
        <v>180</v>
      </c>
      <c r="Y20" s="90" t="s">
        <v>82</v>
      </c>
      <c r="Z20" s="91" t="s">
        <v>176</v>
      </c>
      <c r="AA20" s="91">
        <v>0.6</v>
      </c>
      <c r="AB20" s="91">
        <v>1.6</v>
      </c>
      <c r="AC20" s="89" t="s">
        <v>74</v>
      </c>
      <c r="AE20" s="92" t="s">
        <v>181</v>
      </c>
      <c r="AF20" s="92">
        <v>3.7699999999999997E-2</v>
      </c>
      <c r="AG20" s="92">
        <v>51.4</v>
      </c>
      <c r="AH20" s="92">
        <v>0.2</v>
      </c>
      <c r="AI20" s="92">
        <v>0.03</v>
      </c>
      <c r="AJ20" s="7" t="s">
        <v>93</v>
      </c>
      <c r="AS20" s="94" t="s">
        <v>165</v>
      </c>
      <c r="AT20" s="95">
        <v>0</v>
      </c>
      <c r="AU20" s="95">
        <v>0</v>
      </c>
      <c r="AV20" s="95">
        <v>0</v>
      </c>
      <c r="AW20" s="95">
        <v>31.1</v>
      </c>
      <c r="AX20" s="96" t="s">
        <v>83</v>
      </c>
      <c r="AZ20" s="97" t="s">
        <v>179</v>
      </c>
      <c r="BA20" s="98">
        <v>0</v>
      </c>
      <c r="BB20" s="98">
        <v>0</v>
      </c>
      <c r="BC20" s="98">
        <v>0</v>
      </c>
      <c r="BD20" s="98">
        <v>37.1</v>
      </c>
      <c r="BE20" s="99" t="s">
        <v>83</v>
      </c>
    </row>
    <row r="21" spans="2:57" ht="15" customHeight="1" x14ac:dyDescent="0.3">
      <c r="B21" s="155"/>
      <c r="C21" s="214" t="s">
        <v>154</v>
      </c>
      <c r="D21" s="137"/>
      <c r="E21" s="298">
        <v>1000</v>
      </c>
      <c r="F21" s="138"/>
      <c r="G21" s="20" t="str">
        <f>VLOOKUP(C21,Example!$AE$8:$AJ$65,6,FALSE)</f>
        <v>tonnes</v>
      </c>
      <c r="H21" s="139"/>
      <c r="I21" s="300">
        <f t="shared" ref="I21:K27" si="4">S21*$N21/1000</f>
        <v>2430</v>
      </c>
      <c r="J21" s="300">
        <f t="shared" si="4"/>
        <v>1.08</v>
      </c>
      <c r="K21" s="300">
        <f t="shared" si="4"/>
        <v>5.4</v>
      </c>
      <c r="L21" s="300"/>
      <c r="M21" s="300">
        <f t="shared" ref="M21:M27" si="5">SUM(I21:K21)</f>
        <v>2436.48</v>
      </c>
      <c r="N21" s="301">
        <f t="shared" ref="N21:N27" si="6">V21*E21</f>
        <v>27000</v>
      </c>
      <c r="O21" s="70"/>
      <c r="P21" s="70"/>
      <c r="S21" s="8">
        <f>VLOOKUP(C21,Example!$AE$8:$AJ$65,3,FALSE)</f>
        <v>90</v>
      </c>
      <c r="T21" s="8">
        <f>VLOOKUP(C21,Example!$AE$8:$AJ$65,4,FALSE)</f>
        <v>0.04</v>
      </c>
      <c r="U21" s="8">
        <f>VLOOKUP(C21,Example!$AE$8:$AJ$65,5,FALSE)</f>
        <v>0.2</v>
      </c>
      <c r="V21" s="8">
        <f>VLOOKUP(C21,Example!$AE$8:$AJ$65,2,FALSE)</f>
        <v>27</v>
      </c>
      <c r="X21" s="89" t="s">
        <v>141</v>
      </c>
      <c r="Y21" s="90" t="s">
        <v>182</v>
      </c>
      <c r="Z21" s="91" t="s">
        <v>183</v>
      </c>
      <c r="AA21" s="91">
        <v>0.06</v>
      </c>
      <c r="AB21" s="91">
        <v>0.6</v>
      </c>
      <c r="AC21" s="89" t="s">
        <v>74</v>
      </c>
      <c r="AE21" s="92" t="s">
        <v>184</v>
      </c>
      <c r="AF21" s="92">
        <v>37.5</v>
      </c>
      <c r="AG21" s="92">
        <v>81.8</v>
      </c>
      <c r="AH21" s="92">
        <v>0.03</v>
      </c>
      <c r="AI21" s="92">
        <v>0.2</v>
      </c>
      <c r="AJ21" s="7" t="s">
        <v>83</v>
      </c>
      <c r="AS21" s="94" t="s">
        <v>168</v>
      </c>
      <c r="AT21" s="95">
        <v>0</v>
      </c>
      <c r="AU21" s="95">
        <v>0</v>
      </c>
      <c r="AV21" s="95">
        <v>0</v>
      </c>
      <c r="AW21" s="95">
        <v>22.1</v>
      </c>
      <c r="AX21" s="96" t="s">
        <v>83</v>
      </c>
      <c r="AZ21" s="97" t="s">
        <v>165</v>
      </c>
      <c r="BA21" s="98">
        <v>0</v>
      </c>
      <c r="BB21" s="98">
        <v>0</v>
      </c>
      <c r="BC21" s="98">
        <v>0</v>
      </c>
      <c r="BD21" s="98">
        <v>31.1</v>
      </c>
      <c r="BE21" s="99" t="s">
        <v>83</v>
      </c>
    </row>
    <row r="22" spans="2:57" ht="14.25" customHeight="1" x14ac:dyDescent="0.3">
      <c r="B22" s="155"/>
      <c r="C22" s="214" t="s">
        <v>22</v>
      </c>
      <c r="D22" s="137"/>
      <c r="E22" s="299"/>
      <c r="F22" s="138"/>
      <c r="G22" s="20" t="str">
        <f>VLOOKUP(C22,Example!$AE$8:$AJ$65,6,FALSE)</f>
        <v>-</v>
      </c>
      <c r="H22" s="139"/>
      <c r="I22" s="300">
        <f t="shared" si="4"/>
        <v>0</v>
      </c>
      <c r="J22" s="300">
        <f t="shared" si="4"/>
        <v>0</v>
      </c>
      <c r="K22" s="300">
        <f t="shared" si="4"/>
        <v>0</v>
      </c>
      <c r="L22" s="300"/>
      <c r="M22" s="300">
        <f t="shared" si="5"/>
        <v>0</v>
      </c>
      <c r="N22" s="301">
        <f t="shared" si="6"/>
        <v>0</v>
      </c>
      <c r="O22" s="70"/>
      <c r="P22" s="70"/>
      <c r="S22" s="8">
        <f>VLOOKUP(C22,Example!$AE$8:$AJ$65,3,FALSE)</f>
        <v>0</v>
      </c>
      <c r="T22" s="8">
        <f>VLOOKUP(C22,Example!$AE$8:$AJ$65,4,FALSE)</f>
        <v>0</v>
      </c>
      <c r="U22" s="8">
        <f>VLOOKUP(C22,Example!$AE$8:$AJ$65,5,FALSE)</f>
        <v>0</v>
      </c>
      <c r="V22" s="8">
        <f>VLOOKUP(C22,Example!$AE$8:$AJ$65,2,FALSE)</f>
        <v>0</v>
      </c>
      <c r="X22" s="89" t="s">
        <v>331</v>
      </c>
      <c r="Y22" s="90">
        <v>1.2200000000000001E-2</v>
      </c>
      <c r="Z22" s="89">
        <v>0</v>
      </c>
      <c r="AA22" s="90">
        <v>0</v>
      </c>
      <c r="AB22" s="90">
        <v>0.05</v>
      </c>
      <c r="AC22" s="89" t="s">
        <v>93</v>
      </c>
      <c r="AE22" s="92" t="s">
        <v>189</v>
      </c>
      <c r="AF22" s="92">
        <v>1.8100000000000002E-2</v>
      </c>
      <c r="AG22" s="92">
        <v>37</v>
      </c>
      <c r="AH22" s="92">
        <v>0.03</v>
      </c>
      <c r="AI22" s="92">
        <v>0.05</v>
      </c>
      <c r="AJ22" s="7" t="s">
        <v>93</v>
      </c>
      <c r="AS22" s="94" t="s">
        <v>173</v>
      </c>
      <c r="AT22" s="95">
        <v>0</v>
      </c>
      <c r="AU22" s="95">
        <v>0</v>
      </c>
      <c r="AV22" s="95">
        <v>0</v>
      </c>
      <c r="AW22" s="95">
        <v>27</v>
      </c>
      <c r="AX22" s="96" t="s">
        <v>83</v>
      </c>
      <c r="AZ22" s="97" t="s">
        <v>168</v>
      </c>
      <c r="BA22" s="98">
        <v>0</v>
      </c>
      <c r="BB22" s="98">
        <v>0</v>
      </c>
      <c r="BC22" s="98">
        <v>0</v>
      </c>
      <c r="BD22" s="98">
        <v>22.1</v>
      </c>
      <c r="BE22" s="99" t="s">
        <v>83</v>
      </c>
    </row>
    <row r="23" spans="2:57" ht="15" customHeight="1" x14ac:dyDescent="0.3">
      <c r="B23" s="155"/>
      <c r="C23" s="214" t="s">
        <v>22</v>
      </c>
      <c r="D23" s="137"/>
      <c r="E23" s="299"/>
      <c r="F23" s="138"/>
      <c r="G23" s="20" t="str">
        <f>VLOOKUP(C23,Example!$AE$8:$AJ$65,6,FALSE)</f>
        <v>-</v>
      </c>
      <c r="H23" s="139"/>
      <c r="I23" s="300">
        <f t="shared" si="4"/>
        <v>0</v>
      </c>
      <c r="J23" s="300">
        <f t="shared" si="4"/>
        <v>0</v>
      </c>
      <c r="K23" s="300">
        <f t="shared" si="4"/>
        <v>0</v>
      </c>
      <c r="L23" s="300"/>
      <c r="M23" s="300">
        <f t="shared" si="5"/>
        <v>0</v>
      </c>
      <c r="N23" s="301">
        <f t="shared" si="6"/>
        <v>0</v>
      </c>
      <c r="O23" s="70"/>
      <c r="P23" s="70"/>
      <c r="S23" s="8">
        <f>VLOOKUP(C23,Example!$AE$8:$AJ$65,3,FALSE)</f>
        <v>0</v>
      </c>
      <c r="T23" s="8">
        <f>VLOOKUP(C23,Example!$AE$8:$AJ$65,4,FALSE)</f>
        <v>0</v>
      </c>
      <c r="U23" s="8">
        <f>VLOOKUP(C23,Example!$AE$8:$AJ$65,5,FALSE)</f>
        <v>0</v>
      </c>
      <c r="V23" s="8">
        <f>VLOOKUP(C23,Example!$AE$8:$AJ$65,2,FALSE)</f>
        <v>0</v>
      </c>
      <c r="X23" s="89" t="s">
        <v>185</v>
      </c>
      <c r="Y23" s="90" t="s">
        <v>186</v>
      </c>
      <c r="Z23" s="91" t="s">
        <v>187</v>
      </c>
      <c r="AA23" s="91">
        <v>0.01</v>
      </c>
      <c r="AB23" s="91" t="s">
        <v>188</v>
      </c>
      <c r="AC23" s="89" t="s">
        <v>74</v>
      </c>
      <c r="AE23" s="92" t="s">
        <v>193</v>
      </c>
      <c r="AF23" s="92">
        <v>30</v>
      </c>
      <c r="AG23" s="92">
        <v>91.8</v>
      </c>
      <c r="AH23" s="92">
        <v>0.03</v>
      </c>
      <c r="AI23" s="92">
        <v>0.2</v>
      </c>
      <c r="AJ23" s="7" t="s">
        <v>83</v>
      </c>
      <c r="AS23" s="94" t="s">
        <v>177</v>
      </c>
      <c r="AT23" s="95">
        <v>0</v>
      </c>
      <c r="AU23" s="95">
        <v>0</v>
      </c>
      <c r="AV23" s="95">
        <v>0</v>
      </c>
      <c r="AW23" s="95">
        <v>3.7699999999999997E-2</v>
      </c>
      <c r="AX23" s="96" t="s">
        <v>93</v>
      </c>
      <c r="AZ23" s="97" t="s">
        <v>173</v>
      </c>
      <c r="BA23" s="98">
        <v>0</v>
      </c>
      <c r="BB23" s="98">
        <v>0</v>
      </c>
      <c r="BC23" s="98">
        <v>0</v>
      </c>
      <c r="BD23" s="98">
        <v>27</v>
      </c>
      <c r="BE23" s="99" t="s">
        <v>83</v>
      </c>
    </row>
    <row r="24" spans="2:57" ht="15" customHeight="1" x14ac:dyDescent="0.3">
      <c r="B24" s="155"/>
      <c r="C24" s="214" t="s">
        <v>22</v>
      </c>
      <c r="D24" s="137"/>
      <c r="E24" s="299"/>
      <c r="F24" s="138"/>
      <c r="G24" s="20" t="str">
        <f>VLOOKUP(C24,Example!$AE$8:$AJ$65,6,FALSE)</f>
        <v>-</v>
      </c>
      <c r="H24" s="139"/>
      <c r="I24" s="300">
        <f t="shared" si="4"/>
        <v>0</v>
      </c>
      <c r="J24" s="300">
        <f t="shared" si="4"/>
        <v>0</v>
      </c>
      <c r="K24" s="300">
        <f t="shared" si="4"/>
        <v>0</v>
      </c>
      <c r="L24" s="300"/>
      <c r="M24" s="300">
        <f t="shared" si="5"/>
        <v>0</v>
      </c>
      <c r="N24" s="301">
        <f t="shared" si="6"/>
        <v>0</v>
      </c>
      <c r="O24" s="70"/>
      <c r="P24" s="70"/>
      <c r="S24" s="8">
        <f>VLOOKUP(C24,Example!$AE$8:$AJ$65,3,FALSE)</f>
        <v>0</v>
      </c>
      <c r="T24" s="8">
        <f>VLOOKUP(C24,Example!$AE$8:$AJ$65,4,FALSE)</f>
        <v>0</v>
      </c>
      <c r="U24" s="8">
        <f>VLOOKUP(C24,Example!$AE$8:$AJ$65,5,FALSE)</f>
        <v>0</v>
      </c>
      <c r="V24" s="8">
        <f>VLOOKUP(C24,Example!$AE$8:$AJ$65,2,FALSE)</f>
        <v>0</v>
      </c>
      <c r="X24" s="89" t="s">
        <v>190</v>
      </c>
      <c r="Y24" s="90" t="s">
        <v>191</v>
      </c>
      <c r="Z24" s="91" t="s">
        <v>192</v>
      </c>
      <c r="AA24" s="91">
        <v>2.8</v>
      </c>
      <c r="AB24" s="91">
        <v>0.3</v>
      </c>
      <c r="AC24" s="89" t="s">
        <v>74</v>
      </c>
      <c r="AE24" s="92" t="s">
        <v>195</v>
      </c>
      <c r="AF24" s="92">
        <v>3.9300000000000002E-2</v>
      </c>
      <c r="AG24" s="92">
        <v>51.4</v>
      </c>
      <c r="AH24" s="92">
        <v>0.1</v>
      </c>
      <c r="AI24" s="92">
        <v>0.03</v>
      </c>
      <c r="AJ24" s="7" t="s">
        <v>93</v>
      </c>
      <c r="AS24" s="94" t="s">
        <v>181</v>
      </c>
      <c r="AT24" s="95">
        <v>0</v>
      </c>
      <c r="AU24" s="95">
        <v>0</v>
      </c>
      <c r="AV24" s="95">
        <v>0</v>
      </c>
      <c r="AW24" s="95">
        <v>3.7699999999999997E-2</v>
      </c>
      <c r="AX24" s="96" t="s">
        <v>93</v>
      </c>
      <c r="AZ24" s="97" t="s">
        <v>177</v>
      </c>
      <c r="BA24" s="98">
        <v>0</v>
      </c>
      <c r="BB24" s="98">
        <v>0</v>
      </c>
      <c r="BC24" s="98">
        <v>0</v>
      </c>
      <c r="BD24" s="98">
        <v>3.7699999999999997E-2</v>
      </c>
      <c r="BE24" s="99" t="s">
        <v>93</v>
      </c>
    </row>
    <row r="25" spans="2:57" ht="15" customHeight="1" x14ac:dyDescent="0.3">
      <c r="B25" s="155"/>
      <c r="C25" s="214" t="s">
        <v>22</v>
      </c>
      <c r="D25" s="137"/>
      <c r="E25" s="299"/>
      <c r="F25" s="138"/>
      <c r="G25" s="20" t="str">
        <f>VLOOKUP(C25,Example!$AE$8:$AJ$65,6,FALSE)</f>
        <v>-</v>
      </c>
      <c r="H25" s="139"/>
      <c r="I25" s="300">
        <f t="shared" si="4"/>
        <v>0</v>
      </c>
      <c r="J25" s="300">
        <f t="shared" si="4"/>
        <v>0</v>
      </c>
      <c r="K25" s="300">
        <f t="shared" si="4"/>
        <v>0</v>
      </c>
      <c r="L25" s="300"/>
      <c r="M25" s="300">
        <f t="shared" si="5"/>
        <v>0</v>
      </c>
      <c r="N25" s="301">
        <f t="shared" si="6"/>
        <v>0</v>
      </c>
      <c r="O25" s="70"/>
      <c r="P25" s="70"/>
      <c r="S25" s="8">
        <f>VLOOKUP(C25,Example!$AE$8:$AJ$65,3,FALSE)</f>
        <v>0</v>
      </c>
      <c r="T25" s="8">
        <f>VLOOKUP(C25,Example!$AE$8:$AJ$65,4,FALSE)</f>
        <v>0</v>
      </c>
      <c r="U25" s="8">
        <f>VLOOKUP(C25,Example!$AE$8:$AJ$65,5,FALSE)</f>
        <v>0</v>
      </c>
      <c r="V25" s="8">
        <f>VLOOKUP(C25,Example!$AE$8:$AJ$65,2,FALSE)</f>
        <v>0</v>
      </c>
      <c r="X25" s="89" t="s">
        <v>194</v>
      </c>
      <c r="Y25" s="90" t="s">
        <v>191</v>
      </c>
      <c r="Z25" s="91" t="s">
        <v>192</v>
      </c>
      <c r="AA25" s="91">
        <v>7.3</v>
      </c>
      <c r="AB25" s="91">
        <v>0.3</v>
      </c>
      <c r="AC25" s="89" t="s">
        <v>74</v>
      </c>
      <c r="AE25" s="92" t="s">
        <v>199</v>
      </c>
      <c r="AF25" s="92">
        <v>45.3</v>
      </c>
      <c r="AG25" s="92">
        <v>69.599999999999994</v>
      </c>
      <c r="AH25" s="92">
        <v>0.08</v>
      </c>
      <c r="AI25" s="92">
        <v>0.2</v>
      </c>
      <c r="AJ25" s="7" t="s">
        <v>83</v>
      </c>
      <c r="AS25" s="94" t="s">
        <v>184</v>
      </c>
      <c r="AT25" s="95">
        <v>0</v>
      </c>
      <c r="AU25" s="95">
        <v>0</v>
      </c>
      <c r="AV25" s="95">
        <v>0</v>
      </c>
      <c r="AW25" s="95">
        <v>37.5</v>
      </c>
      <c r="AX25" s="96" t="s">
        <v>83</v>
      </c>
      <c r="AZ25" s="97" t="s">
        <v>181</v>
      </c>
      <c r="BA25" s="98">
        <v>0</v>
      </c>
      <c r="BB25" s="98">
        <v>0</v>
      </c>
      <c r="BC25" s="98">
        <v>0</v>
      </c>
      <c r="BD25" s="98">
        <v>3.7699999999999997E-2</v>
      </c>
      <c r="BE25" s="99" t="s">
        <v>93</v>
      </c>
    </row>
    <row r="26" spans="2:57" ht="15" customHeight="1" x14ac:dyDescent="0.3">
      <c r="B26" s="155"/>
      <c r="C26" s="214" t="s">
        <v>22</v>
      </c>
      <c r="D26" s="137"/>
      <c r="E26" s="299"/>
      <c r="F26" s="138"/>
      <c r="G26" s="20" t="str">
        <f>VLOOKUP(C26,Example!$AE$8:$AJ$65,6,FALSE)</f>
        <v>-</v>
      </c>
      <c r="H26" s="139"/>
      <c r="I26" s="300">
        <f t="shared" si="4"/>
        <v>0</v>
      </c>
      <c r="J26" s="300">
        <f t="shared" si="4"/>
        <v>0</v>
      </c>
      <c r="K26" s="300">
        <f t="shared" si="4"/>
        <v>0</v>
      </c>
      <c r="L26" s="300"/>
      <c r="M26" s="300">
        <f t="shared" si="5"/>
        <v>0</v>
      </c>
      <c r="N26" s="301">
        <f t="shared" si="6"/>
        <v>0</v>
      </c>
      <c r="O26" s="70"/>
      <c r="P26" s="70"/>
      <c r="S26" s="8">
        <f>VLOOKUP(C26,Example!$AE$8:$AJ$65,3,FALSE)</f>
        <v>0</v>
      </c>
      <c r="T26" s="8">
        <f>VLOOKUP(C26,Example!$AE$8:$AJ$65,4,FALSE)</f>
        <v>0</v>
      </c>
      <c r="U26" s="8">
        <f>VLOOKUP(C26,Example!$AE$8:$AJ$65,5,FALSE)</f>
        <v>0</v>
      </c>
      <c r="V26" s="8">
        <f>VLOOKUP(C26,Example!$AE$8:$AJ$65,2,FALSE)</f>
        <v>0</v>
      </c>
      <c r="X26" s="89" t="s">
        <v>196</v>
      </c>
      <c r="Y26" s="90" t="s">
        <v>197</v>
      </c>
      <c r="Z26" s="91" t="s">
        <v>198</v>
      </c>
      <c r="AA26" s="91">
        <v>0.5</v>
      </c>
      <c r="AB26" s="91">
        <v>0.3</v>
      </c>
      <c r="AC26" s="89" t="s">
        <v>74</v>
      </c>
      <c r="AE26" s="92" t="s">
        <v>136</v>
      </c>
      <c r="AF26" s="92">
        <v>38.6</v>
      </c>
      <c r="AG26" s="92">
        <v>69.900000000000006</v>
      </c>
      <c r="AH26" s="92">
        <v>0.1</v>
      </c>
      <c r="AI26" s="92">
        <v>0.2</v>
      </c>
      <c r="AJ26" s="7" t="s">
        <v>74</v>
      </c>
      <c r="AS26" s="94" t="s">
        <v>189</v>
      </c>
      <c r="AT26" s="95">
        <v>0</v>
      </c>
      <c r="AU26" s="95">
        <v>0</v>
      </c>
      <c r="AV26" s="95">
        <v>0</v>
      </c>
      <c r="AW26" s="95">
        <v>1.8100000000000002E-2</v>
      </c>
      <c r="AX26" s="96" t="s">
        <v>93</v>
      </c>
      <c r="AZ26" s="97" t="s">
        <v>184</v>
      </c>
      <c r="BA26" s="98">
        <v>0</v>
      </c>
      <c r="BB26" s="98">
        <v>0</v>
      </c>
      <c r="BC26" s="98">
        <v>0</v>
      </c>
      <c r="BD26" s="98">
        <v>37.5</v>
      </c>
      <c r="BE26" s="99" t="s">
        <v>83</v>
      </c>
    </row>
    <row r="27" spans="2:57" ht="15" customHeight="1" x14ac:dyDescent="0.3">
      <c r="B27" s="155"/>
      <c r="C27" s="214" t="s">
        <v>22</v>
      </c>
      <c r="D27" s="137"/>
      <c r="E27" s="299"/>
      <c r="F27" s="138"/>
      <c r="G27" s="20" t="str">
        <f>VLOOKUP(C27,Example!$AE$8:$AJ$65,6,FALSE)</f>
        <v>-</v>
      </c>
      <c r="H27" s="139"/>
      <c r="I27" s="300">
        <f t="shared" si="4"/>
        <v>0</v>
      </c>
      <c r="J27" s="300">
        <f t="shared" si="4"/>
        <v>0</v>
      </c>
      <c r="K27" s="300">
        <f t="shared" si="4"/>
        <v>0</v>
      </c>
      <c r="L27" s="300"/>
      <c r="M27" s="300">
        <f t="shared" si="5"/>
        <v>0</v>
      </c>
      <c r="N27" s="301">
        <f t="shared" si="6"/>
        <v>0</v>
      </c>
      <c r="O27" s="70"/>
      <c r="P27" s="70"/>
      <c r="S27" s="8">
        <f>VLOOKUP(C27,Example!$AE$8:$AJ$65,3,FALSE)</f>
        <v>0</v>
      </c>
      <c r="T27" s="8">
        <f>VLOOKUP(C27,Example!$AE$8:$AJ$65,4,FALSE)</f>
        <v>0</v>
      </c>
      <c r="U27" s="8">
        <f>VLOOKUP(C27,Example!$AE$8:$AJ$65,5,FALSE)</f>
        <v>0</v>
      </c>
      <c r="V27" s="8">
        <f>VLOOKUP(C27,Example!$AE$8:$AJ$65,2,FALSE)</f>
        <v>0</v>
      </c>
      <c r="X27" s="89" t="s">
        <v>77</v>
      </c>
      <c r="Y27" s="90" t="s">
        <v>197</v>
      </c>
      <c r="Z27" s="91" t="s">
        <v>198</v>
      </c>
      <c r="AA27" s="91">
        <v>0.7</v>
      </c>
      <c r="AB27" s="91">
        <v>0.6</v>
      </c>
      <c r="AC27" s="89" t="s">
        <v>74</v>
      </c>
      <c r="AE27" s="92" t="s">
        <v>201</v>
      </c>
      <c r="AF27" s="92">
        <v>16.2</v>
      </c>
      <c r="AG27" s="92">
        <v>0</v>
      </c>
      <c r="AH27" s="92">
        <v>0.1</v>
      </c>
      <c r="AI27" s="92">
        <v>1.1000000000000001</v>
      </c>
      <c r="AJ27" s="7" t="s">
        <v>83</v>
      </c>
      <c r="AS27" s="94" t="s">
        <v>193</v>
      </c>
      <c r="AT27" s="95">
        <v>0</v>
      </c>
      <c r="AU27" s="95">
        <v>0</v>
      </c>
      <c r="AV27" s="95">
        <v>0</v>
      </c>
      <c r="AW27" s="95">
        <v>30</v>
      </c>
      <c r="AX27" s="96" t="s">
        <v>83</v>
      </c>
      <c r="AZ27" s="97" t="s">
        <v>189</v>
      </c>
      <c r="BA27" s="98">
        <v>0</v>
      </c>
      <c r="BB27" s="98">
        <v>0</v>
      </c>
      <c r="BC27" s="98">
        <v>0</v>
      </c>
      <c r="BD27" s="98">
        <v>1.8100000000000002E-2</v>
      </c>
      <c r="BE27" s="99" t="s">
        <v>93</v>
      </c>
    </row>
    <row r="28" spans="2:57" ht="15" customHeight="1" x14ac:dyDescent="0.3">
      <c r="B28" s="158"/>
      <c r="C28" s="141"/>
      <c r="D28" s="141"/>
      <c r="E28" s="142"/>
      <c r="F28" s="142"/>
      <c r="G28" s="312" t="s">
        <v>25</v>
      </c>
      <c r="H28" s="312"/>
      <c r="I28" s="312"/>
      <c r="J28" s="312"/>
      <c r="K28" s="312"/>
      <c r="L28" s="312"/>
      <c r="M28" s="302">
        <f>SUM(M21:M27)</f>
        <v>2436.48</v>
      </c>
      <c r="N28" s="302">
        <f>SUM(N21:N27)</f>
        <v>27000</v>
      </c>
      <c r="O28" s="6"/>
      <c r="P28" s="6"/>
      <c r="X28" s="89" t="s">
        <v>200</v>
      </c>
      <c r="Y28" s="91" t="s">
        <v>115</v>
      </c>
      <c r="Z28" s="91" t="s">
        <v>192</v>
      </c>
      <c r="AA28" s="91">
        <v>7.3</v>
      </c>
      <c r="AB28" s="91">
        <v>0.3</v>
      </c>
      <c r="AC28" s="91" t="s">
        <v>93</v>
      </c>
      <c r="AE28" s="92" t="s">
        <v>203</v>
      </c>
      <c r="AF28" s="92">
        <v>6.2899999999999998E-2</v>
      </c>
      <c r="AG28" s="92">
        <v>56.5</v>
      </c>
      <c r="AH28" s="92">
        <v>0.03</v>
      </c>
      <c r="AI28" s="92">
        <v>0.03</v>
      </c>
      <c r="AJ28" s="7" t="s">
        <v>93</v>
      </c>
      <c r="AS28" s="94" t="s">
        <v>204</v>
      </c>
      <c r="AT28" s="95">
        <v>0</v>
      </c>
      <c r="AU28" s="95">
        <v>0</v>
      </c>
      <c r="AV28" s="95">
        <v>0</v>
      </c>
      <c r="AW28" s="95" t="s">
        <v>115</v>
      </c>
      <c r="AX28" s="96" t="s">
        <v>93</v>
      </c>
      <c r="AZ28" s="97" t="s">
        <v>193</v>
      </c>
      <c r="BA28" s="98">
        <v>0</v>
      </c>
      <c r="BB28" s="98">
        <v>0</v>
      </c>
      <c r="BC28" s="98">
        <v>0</v>
      </c>
      <c r="BD28" s="98">
        <v>30</v>
      </c>
      <c r="BE28" s="99" t="s">
        <v>83</v>
      </c>
    </row>
    <row r="29" spans="2:57" ht="15" customHeight="1" x14ac:dyDescent="0.3">
      <c r="E29" s="20"/>
      <c r="F29" s="20"/>
      <c r="G29" s="20"/>
      <c r="O29" s="5"/>
      <c r="P29" s="5"/>
      <c r="X29" s="89" t="s">
        <v>202</v>
      </c>
      <c r="Y29" s="91" t="s">
        <v>115</v>
      </c>
      <c r="Z29" s="91" t="s">
        <v>192</v>
      </c>
      <c r="AA29" s="91">
        <v>2.8</v>
      </c>
      <c r="AB29" s="91">
        <v>0.3</v>
      </c>
      <c r="AC29" s="91" t="s">
        <v>93</v>
      </c>
      <c r="AD29" s="310"/>
      <c r="AE29" s="92" t="s">
        <v>98</v>
      </c>
      <c r="AF29" s="92">
        <v>23.4</v>
      </c>
      <c r="AG29" s="92">
        <v>0</v>
      </c>
      <c r="AH29" s="92">
        <v>0.08</v>
      </c>
      <c r="AI29" s="92">
        <v>0.2</v>
      </c>
      <c r="AJ29" s="7" t="s">
        <v>74</v>
      </c>
      <c r="AS29" s="94" t="s">
        <v>199</v>
      </c>
      <c r="AT29" s="95">
        <v>0</v>
      </c>
      <c r="AU29" s="95">
        <v>0</v>
      </c>
      <c r="AV29" s="95">
        <v>0</v>
      </c>
      <c r="AW29" s="95" t="s">
        <v>205</v>
      </c>
      <c r="AX29" s="96" t="s">
        <v>83</v>
      </c>
      <c r="AZ29" s="97" t="s">
        <v>204</v>
      </c>
      <c r="BA29" s="98">
        <v>0</v>
      </c>
      <c r="BB29" s="98">
        <v>0</v>
      </c>
      <c r="BC29" s="98">
        <v>0</v>
      </c>
      <c r="BD29" s="98" t="s">
        <v>115</v>
      </c>
      <c r="BE29" s="99" t="s">
        <v>93</v>
      </c>
    </row>
    <row r="30" spans="2:57" ht="15" customHeight="1" x14ac:dyDescent="0.3">
      <c r="B30" s="126"/>
      <c r="C30" s="313" t="s">
        <v>354</v>
      </c>
      <c r="D30" s="202"/>
      <c r="E30" s="315" t="s">
        <v>5</v>
      </c>
      <c r="F30" s="202"/>
      <c r="G30" s="316" t="s">
        <v>6</v>
      </c>
      <c r="H30" s="152"/>
      <c r="I30" s="368" t="s">
        <v>26</v>
      </c>
      <c r="J30" s="368"/>
      <c r="K30" s="368"/>
      <c r="L30" s="152"/>
      <c r="M30" s="201" t="s">
        <v>27</v>
      </c>
      <c r="N30" s="201" t="s">
        <v>9</v>
      </c>
      <c r="O30" s="46"/>
      <c r="P30" s="46"/>
      <c r="X30" s="89" t="s">
        <v>333</v>
      </c>
      <c r="Y30" s="90" t="s">
        <v>186</v>
      </c>
      <c r="Z30" s="89">
        <v>0</v>
      </c>
      <c r="AA30" s="90" t="s">
        <v>148</v>
      </c>
      <c r="AB30" s="90" t="s">
        <v>188</v>
      </c>
      <c r="AC30" s="89" t="s">
        <v>74</v>
      </c>
      <c r="AD30" s="310"/>
      <c r="AE30" s="92" t="s">
        <v>170</v>
      </c>
      <c r="AF30" s="92">
        <v>39.700000000000003</v>
      </c>
      <c r="AG30" s="92">
        <v>73.599999999999994</v>
      </c>
      <c r="AH30" s="92">
        <v>0.04</v>
      </c>
      <c r="AI30" s="92">
        <v>0.2</v>
      </c>
      <c r="AJ30" s="7" t="s">
        <v>74</v>
      </c>
      <c r="AS30" s="94" t="s">
        <v>136</v>
      </c>
      <c r="AT30" s="95">
        <v>0</v>
      </c>
      <c r="AU30" s="95">
        <v>0</v>
      </c>
      <c r="AV30" s="95">
        <v>0</v>
      </c>
      <c r="AW30" s="95" t="s">
        <v>146</v>
      </c>
      <c r="AX30" s="96" t="s">
        <v>74</v>
      </c>
      <c r="AZ30" s="97" t="s">
        <v>199</v>
      </c>
      <c r="BA30" s="98">
        <v>0</v>
      </c>
      <c r="BB30" s="98">
        <v>0</v>
      </c>
      <c r="BC30" s="98">
        <v>0</v>
      </c>
      <c r="BD30" s="98" t="s">
        <v>205</v>
      </c>
      <c r="BE30" s="99" t="s">
        <v>83</v>
      </c>
    </row>
    <row r="31" spans="2:57" ht="15" customHeight="1" x14ac:dyDescent="0.3">
      <c r="B31" s="153"/>
      <c r="C31" s="314"/>
      <c r="D31" s="201"/>
      <c r="E31" s="316"/>
      <c r="F31" s="201"/>
      <c r="G31" s="316"/>
      <c r="H31" s="26"/>
      <c r="I31" s="1" t="s">
        <v>28</v>
      </c>
      <c r="J31" s="1"/>
      <c r="K31" s="26"/>
      <c r="L31" s="201"/>
      <c r="M31" s="1" t="s">
        <v>14</v>
      </c>
      <c r="N31" s="154" t="s">
        <v>15</v>
      </c>
      <c r="O31" s="75"/>
      <c r="P31" s="189" t="s">
        <v>48</v>
      </c>
      <c r="S31" s="2" t="s">
        <v>29</v>
      </c>
      <c r="X31" s="89" t="s">
        <v>334</v>
      </c>
      <c r="Y31" s="90" t="s">
        <v>146</v>
      </c>
      <c r="Z31" s="89">
        <v>0</v>
      </c>
      <c r="AA31" s="90" t="s">
        <v>150</v>
      </c>
      <c r="AB31" s="90" t="s">
        <v>339</v>
      </c>
      <c r="AC31" s="89" t="s">
        <v>74</v>
      </c>
      <c r="AD31" s="310"/>
      <c r="AE31" s="92" t="s">
        <v>180</v>
      </c>
      <c r="AF31" s="92">
        <v>34.200000000000003</v>
      </c>
      <c r="AG31" s="92">
        <v>67.400000000000006</v>
      </c>
      <c r="AH31" s="92">
        <v>0.2</v>
      </c>
      <c r="AI31" s="92">
        <v>0.2</v>
      </c>
      <c r="AJ31" s="7" t="s">
        <v>74</v>
      </c>
      <c r="AS31" s="94" t="s">
        <v>201</v>
      </c>
      <c r="AT31" s="95">
        <v>0</v>
      </c>
      <c r="AU31" s="95">
        <v>0</v>
      </c>
      <c r="AV31" s="95">
        <v>0</v>
      </c>
      <c r="AW31" s="95" t="s">
        <v>206</v>
      </c>
      <c r="AX31" s="96" t="s">
        <v>83</v>
      </c>
      <c r="AZ31" s="97" t="s">
        <v>136</v>
      </c>
      <c r="BA31" s="98">
        <v>0</v>
      </c>
      <c r="BB31" s="98">
        <v>0</v>
      </c>
      <c r="BC31" s="98">
        <v>0</v>
      </c>
      <c r="BD31" s="98" t="s">
        <v>146</v>
      </c>
      <c r="BE31" s="99" t="s">
        <v>74</v>
      </c>
    </row>
    <row r="32" spans="2:57" ht="15" customHeight="1" x14ac:dyDescent="0.3">
      <c r="B32" s="155"/>
      <c r="C32" s="156" t="s">
        <v>30</v>
      </c>
      <c r="D32" s="156"/>
      <c r="E32" s="138" t="s">
        <v>17</v>
      </c>
      <c r="F32" s="138"/>
      <c r="G32" s="138"/>
      <c r="H32" s="137"/>
      <c r="I32" s="137"/>
      <c r="J32" s="137"/>
      <c r="K32" s="137"/>
      <c r="L32" s="137"/>
      <c r="M32" s="137"/>
      <c r="N32" s="157"/>
      <c r="O32" s="5"/>
      <c r="P32" s="5"/>
      <c r="S32" s="1" t="s">
        <v>21</v>
      </c>
      <c r="X32" s="89" t="s">
        <v>336</v>
      </c>
      <c r="Y32" s="90" t="s">
        <v>146</v>
      </c>
      <c r="Z32" s="89">
        <v>0</v>
      </c>
      <c r="AA32" s="90" t="s">
        <v>148</v>
      </c>
      <c r="AB32" s="90" t="s">
        <v>343</v>
      </c>
      <c r="AC32" s="89" t="s">
        <v>74</v>
      </c>
      <c r="AD32" s="310"/>
      <c r="AE32" s="92" t="s">
        <v>207</v>
      </c>
      <c r="AF32" s="92">
        <v>33.1</v>
      </c>
      <c r="AG32" s="92">
        <v>67</v>
      </c>
      <c r="AH32" s="92">
        <v>0.2</v>
      </c>
      <c r="AI32" s="92">
        <v>0.2</v>
      </c>
      <c r="AJ32" s="7" t="s">
        <v>74</v>
      </c>
      <c r="AS32" s="8" t="s">
        <v>118</v>
      </c>
      <c r="AT32" s="8">
        <v>0</v>
      </c>
      <c r="AU32" s="8">
        <v>0</v>
      </c>
      <c r="AV32" s="8">
        <v>0</v>
      </c>
      <c r="AW32" s="8">
        <v>3.5999999999999999E-3</v>
      </c>
      <c r="AX32" s="8" t="s">
        <v>31</v>
      </c>
      <c r="AZ32" s="97" t="s">
        <v>201</v>
      </c>
      <c r="BA32" s="98">
        <v>0</v>
      </c>
      <c r="BB32" s="98">
        <v>0</v>
      </c>
      <c r="BC32" s="98">
        <v>0</v>
      </c>
      <c r="BD32" s="98" t="s">
        <v>206</v>
      </c>
      <c r="BE32" s="99" t="s">
        <v>83</v>
      </c>
    </row>
    <row r="33" spans="2:57" ht="15" customHeight="1" x14ac:dyDescent="0.3">
      <c r="B33" s="155"/>
      <c r="C33" s="214" t="s">
        <v>149</v>
      </c>
      <c r="D33" s="137"/>
      <c r="E33" s="298">
        <v>1000000</v>
      </c>
      <c r="F33" s="138"/>
      <c r="G33" s="20" t="s">
        <v>31</v>
      </c>
      <c r="I33" s="22">
        <f>VLOOKUP(C33,Example!$AM$10:$AN$19,2,FALSE)</f>
        <v>0.64</v>
      </c>
      <c r="J33" s="369" t="str">
        <f>IF(C33="Not purchased from the main grid","You can enter a custom factor for EF","")</f>
        <v/>
      </c>
      <c r="K33" s="369"/>
      <c r="L33" s="369"/>
      <c r="M33" s="300">
        <f>E33*I33/1000</f>
        <v>640</v>
      </c>
      <c r="N33" s="301">
        <f>E33*S34</f>
        <v>3600</v>
      </c>
      <c r="O33" s="70"/>
      <c r="P33" s="70"/>
      <c r="S33" s="3"/>
      <c r="X33" s="89" t="s">
        <v>337</v>
      </c>
      <c r="Y33" s="90" t="s">
        <v>146</v>
      </c>
      <c r="Z33" s="89">
        <v>0</v>
      </c>
      <c r="AA33" s="90" t="s">
        <v>338</v>
      </c>
      <c r="AB33" s="90" t="s">
        <v>339</v>
      </c>
      <c r="AC33" s="89" t="s">
        <v>74</v>
      </c>
      <c r="AD33" s="310"/>
      <c r="AE33" s="92" t="s">
        <v>208</v>
      </c>
      <c r="AF33" s="92">
        <v>10.4</v>
      </c>
      <c r="AG33" s="92">
        <v>0</v>
      </c>
      <c r="AH33" s="92">
        <v>0.1</v>
      </c>
      <c r="AI33" s="92">
        <v>1.1000000000000001</v>
      </c>
      <c r="AJ33" s="7" t="s">
        <v>83</v>
      </c>
      <c r="AS33" s="94" t="s">
        <v>203</v>
      </c>
      <c r="AT33" s="95">
        <v>0</v>
      </c>
      <c r="AU33" s="95">
        <v>0</v>
      </c>
      <c r="AV33" s="95">
        <v>0</v>
      </c>
      <c r="AW33" s="95" t="s">
        <v>209</v>
      </c>
      <c r="AX33" s="96" t="s">
        <v>93</v>
      </c>
      <c r="AZ33" s="97" t="s">
        <v>203</v>
      </c>
      <c r="BA33" s="98">
        <v>0</v>
      </c>
      <c r="BB33" s="98">
        <v>0</v>
      </c>
      <c r="BC33" s="98">
        <v>0</v>
      </c>
      <c r="BD33" s="98" t="s">
        <v>209</v>
      </c>
      <c r="BE33" s="99" t="s">
        <v>93</v>
      </c>
    </row>
    <row r="34" spans="2:57" ht="15.75" customHeight="1" x14ac:dyDescent="0.3">
      <c r="B34" s="155"/>
      <c r="C34" s="215" t="s">
        <v>178</v>
      </c>
      <c r="D34" s="137"/>
      <c r="E34" s="303">
        <v>277.77777780000002</v>
      </c>
      <c r="F34" s="138"/>
      <c r="G34" s="20" t="s">
        <v>31</v>
      </c>
      <c r="I34" s="22">
        <f>VLOOKUP(C34,Example!$AM$10:$AN$19,2,FALSE)</f>
        <v>0.56000000000000005</v>
      </c>
      <c r="J34" s="322" t="str">
        <f>IF(C34="Not purchased from the main grid","You can enter a custom factor for EF","")</f>
        <v>You can enter a custom factor for EF</v>
      </c>
      <c r="K34" s="322"/>
      <c r="L34" s="322"/>
      <c r="M34" s="300">
        <f>E34*I34/1000</f>
        <v>0.15555555556800002</v>
      </c>
      <c r="N34" s="301">
        <f>E34*S35</f>
        <v>1.00000000008</v>
      </c>
      <c r="O34" s="70"/>
      <c r="P34" s="70"/>
      <c r="S34" s="4">
        <f>VLOOKUP(C33,Example!$AM$10:$AO$19,3,FALSE)</f>
        <v>3.5999999999999999E-3</v>
      </c>
      <c r="X34" s="89" t="s">
        <v>340</v>
      </c>
      <c r="Y34" s="90" t="s">
        <v>146</v>
      </c>
      <c r="Z34" s="89">
        <v>0</v>
      </c>
      <c r="AA34" s="90" t="s">
        <v>150</v>
      </c>
      <c r="AB34" s="90" t="s">
        <v>339</v>
      </c>
      <c r="AC34" s="89" t="s">
        <v>74</v>
      </c>
      <c r="AE34" s="92" t="s">
        <v>210</v>
      </c>
      <c r="AF34" s="92">
        <v>37.299999999999997</v>
      </c>
      <c r="AG34" s="92">
        <v>69.5</v>
      </c>
      <c r="AH34" s="92">
        <v>0.03</v>
      </c>
      <c r="AI34" s="92">
        <v>0.2</v>
      </c>
      <c r="AJ34" s="7" t="s">
        <v>74</v>
      </c>
      <c r="AS34" s="94" t="s">
        <v>98</v>
      </c>
      <c r="AT34" s="95">
        <v>0</v>
      </c>
      <c r="AU34" s="95">
        <v>0</v>
      </c>
      <c r="AV34" s="95">
        <v>0</v>
      </c>
      <c r="AW34" s="95" t="s">
        <v>164</v>
      </c>
      <c r="AX34" s="96" t="s">
        <v>74</v>
      </c>
      <c r="AZ34" s="97" t="s">
        <v>98</v>
      </c>
      <c r="BA34" s="98">
        <v>0</v>
      </c>
      <c r="BB34" s="98">
        <v>0</v>
      </c>
      <c r="BC34" s="98">
        <v>0</v>
      </c>
      <c r="BD34" s="98" t="s">
        <v>164</v>
      </c>
      <c r="BE34" s="99" t="s">
        <v>74</v>
      </c>
    </row>
    <row r="35" spans="2:57" ht="16.5" customHeight="1" x14ac:dyDescent="0.3">
      <c r="B35" s="158"/>
      <c r="C35" s="141"/>
      <c r="D35" s="141"/>
      <c r="E35" s="142"/>
      <c r="F35" s="142"/>
      <c r="G35" s="312" t="s">
        <v>32</v>
      </c>
      <c r="H35" s="312"/>
      <c r="I35" s="312"/>
      <c r="J35" s="312"/>
      <c r="K35" s="312"/>
      <c r="L35" s="312"/>
      <c r="M35" s="302">
        <f>SUM(M33:M34)</f>
        <v>640.15555555556796</v>
      </c>
      <c r="N35" s="302">
        <f>SUM(N33:N34)</f>
        <v>3601.00000000008</v>
      </c>
      <c r="O35" s="6"/>
      <c r="P35" s="6"/>
      <c r="S35" s="4">
        <f>VLOOKUP(C34,Example!$AM$10:$AO$19,3,FALSE)</f>
        <v>3.5999999999999999E-3</v>
      </c>
      <c r="X35" s="89" t="s">
        <v>341</v>
      </c>
      <c r="Y35" s="90" t="s">
        <v>146</v>
      </c>
      <c r="Z35" s="89">
        <v>0</v>
      </c>
      <c r="AA35" s="90" t="s">
        <v>342</v>
      </c>
      <c r="AB35" s="90" t="s">
        <v>339</v>
      </c>
      <c r="AC35" s="89" t="s">
        <v>74</v>
      </c>
      <c r="AE35" s="92" t="s">
        <v>331</v>
      </c>
      <c r="AF35" s="92">
        <v>1.2200000000000001E-2</v>
      </c>
      <c r="AG35" s="92">
        <v>0</v>
      </c>
      <c r="AH35" s="92">
        <v>0</v>
      </c>
      <c r="AI35" s="92">
        <v>0.05</v>
      </c>
      <c r="AJ35" s="7" t="s">
        <v>93</v>
      </c>
      <c r="AS35" s="94" t="s">
        <v>212</v>
      </c>
      <c r="AT35" s="95">
        <v>0</v>
      </c>
      <c r="AU35" s="95">
        <v>0</v>
      </c>
      <c r="AV35" s="95">
        <v>0</v>
      </c>
      <c r="AW35" s="95" t="s">
        <v>213</v>
      </c>
      <c r="AX35" s="96" t="s">
        <v>83</v>
      </c>
      <c r="AZ35" s="97" t="s">
        <v>212</v>
      </c>
      <c r="BA35" s="98">
        <v>0</v>
      </c>
      <c r="BB35" s="98">
        <v>0</v>
      </c>
      <c r="BC35" s="98">
        <v>0</v>
      </c>
      <c r="BD35" s="98" t="s">
        <v>213</v>
      </c>
      <c r="BE35" s="99" t="s">
        <v>83</v>
      </c>
    </row>
    <row r="36" spans="2:57" ht="15" customHeight="1" x14ac:dyDescent="0.3">
      <c r="E36" s="20"/>
      <c r="F36" s="20"/>
      <c r="G36" s="160"/>
      <c r="H36" s="160"/>
      <c r="I36" s="160"/>
      <c r="J36" s="160"/>
      <c r="K36" s="160"/>
      <c r="L36" s="160"/>
      <c r="M36" s="24"/>
      <c r="N36" s="24"/>
      <c r="O36" s="6"/>
      <c r="P36" s="6"/>
      <c r="AE36" s="92" t="s">
        <v>211</v>
      </c>
      <c r="AF36" s="92">
        <v>26.3</v>
      </c>
      <c r="AG36" s="92">
        <v>81.599999999999994</v>
      </c>
      <c r="AH36" s="92">
        <v>0.03</v>
      </c>
      <c r="AI36" s="92">
        <v>0.2</v>
      </c>
      <c r="AJ36" s="7" t="s">
        <v>83</v>
      </c>
      <c r="AS36" s="94" t="s">
        <v>170</v>
      </c>
      <c r="AT36" s="95">
        <v>0</v>
      </c>
      <c r="AU36" s="95">
        <v>0</v>
      </c>
      <c r="AV36" s="95">
        <v>0</v>
      </c>
      <c r="AW36" s="95" t="s">
        <v>171</v>
      </c>
      <c r="AX36" s="96" t="s">
        <v>74</v>
      </c>
      <c r="AZ36" s="97" t="s">
        <v>170</v>
      </c>
      <c r="BA36" s="98">
        <v>0</v>
      </c>
      <c r="BB36" s="98">
        <v>0</v>
      </c>
      <c r="BC36" s="98">
        <v>0</v>
      </c>
      <c r="BD36" s="98" t="s">
        <v>171</v>
      </c>
      <c r="BE36" s="99" t="s">
        <v>74</v>
      </c>
    </row>
    <row r="37" spans="2:57" ht="15" customHeight="1" x14ac:dyDescent="0.3">
      <c r="B37" s="126"/>
      <c r="C37" s="313" t="s">
        <v>355</v>
      </c>
      <c r="D37" s="202"/>
      <c r="E37" s="315" t="s">
        <v>5</v>
      </c>
      <c r="F37" s="202"/>
      <c r="G37" s="316" t="s">
        <v>6</v>
      </c>
      <c r="H37" s="152"/>
      <c r="I37" s="317"/>
      <c r="J37" s="317"/>
      <c r="K37" s="317"/>
      <c r="L37" s="152"/>
      <c r="M37" s="202"/>
      <c r="N37" s="201" t="s">
        <v>9</v>
      </c>
      <c r="O37" s="46"/>
      <c r="P37" s="46"/>
      <c r="X37" s="2" t="s">
        <v>108</v>
      </c>
      <c r="AE37" s="92" t="s">
        <v>214</v>
      </c>
      <c r="AF37" s="92">
        <v>37.5</v>
      </c>
      <c r="AG37" s="92">
        <v>68.900000000000006</v>
      </c>
      <c r="AH37" s="92">
        <v>0.01</v>
      </c>
      <c r="AI37" s="92">
        <v>0.2</v>
      </c>
      <c r="AJ37" s="7" t="s">
        <v>74</v>
      </c>
      <c r="AS37" s="94" t="s">
        <v>216</v>
      </c>
      <c r="AT37" s="95">
        <v>0</v>
      </c>
      <c r="AU37" s="95">
        <v>0</v>
      </c>
      <c r="AV37" s="95">
        <v>0</v>
      </c>
      <c r="AW37" s="95" t="s">
        <v>115</v>
      </c>
      <c r="AX37" s="96" t="s">
        <v>93</v>
      </c>
      <c r="AZ37" s="97" t="s">
        <v>216</v>
      </c>
      <c r="BA37" s="98">
        <v>0</v>
      </c>
      <c r="BB37" s="98">
        <v>0</v>
      </c>
      <c r="BC37" s="98">
        <v>0</v>
      </c>
      <c r="BD37" s="98" t="s">
        <v>115</v>
      </c>
      <c r="BE37" s="99" t="s">
        <v>93</v>
      </c>
    </row>
    <row r="38" spans="2:57" ht="15" customHeight="1" x14ac:dyDescent="0.3">
      <c r="B38" s="153"/>
      <c r="C38" s="314"/>
      <c r="D38" s="201"/>
      <c r="E38" s="316"/>
      <c r="F38" s="201"/>
      <c r="G38" s="316"/>
      <c r="H38" s="26"/>
      <c r="I38" s="1"/>
      <c r="J38" s="1"/>
      <c r="K38" s="26"/>
      <c r="L38" s="201"/>
      <c r="M38" s="1"/>
      <c r="N38" s="154" t="s">
        <v>15</v>
      </c>
      <c r="O38" s="75"/>
      <c r="P38" s="75"/>
      <c r="AE38" s="92" t="s">
        <v>215</v>
      </c>
      <c r="AF38" s="92">
        <v>36.799999999999997</v>
      </c>
      <c r="AG38" s="92">
        <v>69.599999999999994</v>
      </c>
      <c r="AH38" s="92">
        <v>0.02</v>
      </c>
      <c r="AI38" s="92">
        <v>0.2</v>
      </c>
      <c r="AJ38" s="7" t="s">
        <v>74</v>
      </c>
      <c r="AS38" s="94" t="s">
        <v>180</v>
      </c>
      <c r="AT38" s="95">
        <v>0</v>
      </c>
      <c r="AU38" s="95">
        <v>0</v>
      </c>
      <c r="AV38" s="95">
        <v>0</v>
      </c>
      <c r="AW38" s="95" t="s">
        <v>82</v>
      </c>
      <c r="AX38" s="96" t="s">
        <v>74</v>
      </c>
      <c r="AZ38" s="97" t="s">
        <v>180</v>
      </c>
      <c r="BA38" s="98">
        <v>0</v>
      </c>
      <c r="BB38" s="98">
        <v>0</v>
      </c>
      <c r="BC38" s="98">
        <v>0</v>
      </c>
      <c r="BD38" s="98" t="s">
        <v>82</v>
      </c>
      <c r="BE38" s="99" t="s">
        <v>74</v>
      </c>
    </row>
    <row r="39" spans="2:57" ht="15" customHeight="1" x14ac:dyDescent="0.3">
      <c r="B39" s="155"/>
      <c r="C39" s="156" t="s">
        <v>33</v>
      </c>
      <c r="D39" s="156"/>
      <c r="E39" s="138" t="s">
        <v>17</v>
      </c>
      <c r="F39" s="138"/>
      <c r="G39" s="138"/>
      <c r="H39" s="137"/>
      <c r="I39" s="137"/>
      <c r="J39" s="137"/>
      <c r="K39" s="137"/>
      <c r="L39" s="137"/>
      <c r="M39" s="137"/>
      <c r="N39" s="157"/>
      <c r="O39" s="5"/>
      <c r="P39" s="5"/>
      <c r="S39" s="8" t="s">
        <v>18</v>
      </c>
      <c r="T39" s="8" t="s">
        <v>19</v>
      </c>
      <c r="U39" s="8" t="s">
        <v>20</v>
      </c>
      <c r="V39" s="8" t="s">
        <v>21</v>
      </c>
      <c r="AE39" s="92" t="s">
        <v>217</v>
      </c>
      <c r="AF39" s="92">
        <v>3.7699999999999997E-2</v>
      </c>
      <c r="AG39" s="92">
        <v>0</v>
      </c>
      <c r="AH39" s="92">
        <v>6.4</v>
      </c>
      <c r="AI39" s="92">
        <v>0.03</v>
      </c>
      <c r="AJ39" s="7" t="s">
        <v>93</v>
      </c>
      <c r="AS39" s="94" t="s">
        <v>219</v>
      </c>
      <c r="AT39" s="95">
        <v>0</v>
      </c>
      <c r="AU39" s="95">
        <v>0</v>
      </c>
      <c r="AV39" s="95">
        <v>0</v>
      </c>
      <c r="AW39" s="95" t="s">
        <v>182</v>
      </c>
      <c r="AX39" s="96" t="s">
        <v>74</v>
      </c>
      <c r="AZ39" s="97" t="s">
        <v>219</v>
      </c>
      <c r="BA39" s="98">
        <v>0</v>
      </c>
      <c r="BB39" s="98">
        <v>0</v>
      </c>
      <c r="BC39" s="98">
        <v>0</v>
      </c>
      <c r="BD39" s="98" t="s">
        <v>182</v>
      </c>
      <c r="BE39" s="99" t="s">
        <v>74</v>
      </c>
    </row>
    <row r="40" spans="2:57" ht="15" customHeight="1" x14ac:dyDescent="0.3">
      <c r="B40" s="155"/>
      <c r="C40" s="214" t="s">
        <v>220</v>
      </c>
      <c r="D40" s="137"/>
      <c r="E40" s="298">
        <v>10000</v>
      </c>
      <c r="F40" s="138"/>
      <c r="G40" s="20" t="str">
        <f>VLOOKUP(C40,Example!$AZ$8:$BE$81,6,FALSE)</f>
        <v>m3</v>
      </c>
      <c r="I40" s="22"/>
      <c r="J40" s="22"/>
      <c r="K40" s="161"/>
      <c r="L40" s="22"/>
      <c r="M40" s="22">
        <f>E40*I40/1000</f>
        <v>0</v>
      </c>
      <c r="N40" s="301">
        <f>V40*E40</f>
        <v>393</v>
      </c>
      <c r="O40" s="70"/>
      <c r="P40" s="70"/>
      <c r="S40" s="8"/>
      <c r="T40" s="8"/>
      <c r="U40" s="8"/>
      <c r="V40" s="8" t="str">
        <f>VLOOKUP(C40,Example!$AZ$8:$BE$81,5,FALSE)</f>
        <v>0.0393</v>
      </c>
      <c r="AE40" s="92" t="s">
        <v>218</v>
      </c>
      <c r="AF40" s="92">
        <v>34.4</v>
      </c>
      <c r="AG40" s="92">
        <v>69.7</v>
      </c>
      <c r="AH40" s="92">
        <v>0.03</v>
      </c>
      <c r="AI40" s="92">
        <v>0.2</v>
      </c>
      <c r="AJ40" s="7" t="s">
        <v>74</v>
      </c>
      <c r="AS40" s="94" t="s">
        <v>208</v>
      </c>
      <c r="AT40" s="95">
        <v>0</v>
      </c>
      <c r="AU40" s="95">
        <v>0</v>
      </c>
      <c r="AV40" s="95">
        <v>0</v>
      </c>
      <c r="AW40" s="95" t="s">
        <v>222</v>
      </c>
      <c r="AX40" s="96" t="s">
        <v>83</v>
      </c>
      <c r="AZ40" s="97" t="s">
        <v>208</v>
      </c>
      <c r="BA40" s="98">
        <v>0</v>
      </c>
      <c r="BB40" s="98">
        <v>0</v>
      </c>
      <c r="BC40" s="98">
        <v>0</v>
      </c>
      <c r="BD40" s="98" t="s">
        <v>222</v>
      </c>
      <c r="BE40" s="99" t="s">
        <v>83</v>
      </c>
    </row>
    <row r="41" spans="2:57" ht="15" customHeight="1" x14ac:dyDescent="0.3">
      <c r="B41" s="155"/>
      <c r="C41" s="214" t="s">
        <v>22</v>
      </c>
      <c r="D41" s="137"/>
      <c r="E41" s="304"/>
      <c r="F41" s="138"/>
      <c r="G41" s="20" t="str">
        <f>VLOOKUP(C41,Example!$AZ$8:$BE$81,6,FALSE)</f>
        <v>-</v>
      </c>
      <c r="I41" s="22"/>
      <c r="J41" s="22"/>
      <c r="K41" s="161"/>
      <c r="L41" s="22"/>
      <c r="M41" s="22"/>
      <c r="N41" s="301">
        <f>V41*E41</f>
        <v>0</v>
      </c>
      <c r="O41" s="70"/>
      <c r="P41" s="70"/>
      <c r="S41" s="8"/>
      <c r="T41" s="8"/>
      <c r="U41" s="8"/>
      <c r="V41" s="8">
        <f>VLOOKUP(C41,Example!$AZ$8:$BE$81,5,FALSE)</f>
        <v>0</v>
      </c>
      <c r="AE41" s="92" t="s">
        <v>221</v>
      </c>
      <c r="AF41" s="92">
        <v>25.3</v>
      </c>
      <c r="AG41" s="92">
        <v>51.4</v>
      </c>
      <c r="AH41" s="92">
        <v>0.1</v>
      </c>
      <c r="AI41" s="92">
        <v>0.03</v>
      </c>
      <c r="AJ41" s="7" t="s">
        <v>74</v>
      </c>
      <c r="AS41" s="94" t="s">
        <v>210</v>
      </c>
      <c r="AT41" s="95">
        <v>0</v>
      </c>
      <c r="AU41" s="95">
        <v>0</v>
      </c>
      <c r="AV41" s="95">
        <v>0</v>
      </c>
      <c r="AW41" s="95" t="s">
        <v>223</v>
      </c>
      <c r="AX41" s="96" t="s">
        <v>74</v>
      </c>
      <c r="AZ41" s="97" t="s">
        <v>210</v>
      </c>
      <c r="BA41" s="98">
        <v>0</v>
      </c>
      <c r="BB41" s="98">
        <v>0</v>
      </c>
      <c r="BC41" s="98">
        <v>0</v>
      </c>
      <c r="BD41" s="98" t="s">
        <v>223</v>
      </c>
      <c r="BE41" s="99" t="s">
        <v>74</v>
      </c>
    </row>
    <row r="42" spans="2:57" ht="15" customHeight="1" x14ac:dyDescent="0.3">
      <c r="B42" s="155"/>
      <c r="C42" s="214" t="s">
        <v>22</v>
      </c>
      <c r="D42" s="137"/>
      <c r="E42" s="303"/>
      <c r="F42" s="138"/>
      <c r="G42" s="20" t="str">
        <f>VLOOKUP(C42,Example!$AZ$8:$BE$81,6,FALSE)</f>
        <v>-</v>
      </c>
      <c r="I42" s="22"/>
      <c r="J42" s="322"/>
      <c r="K42" s="322"/>
      <c r="L42" s="22"/>
      <c r="M42" s="22">
        <f>E42*I42/1000</f>
        <v>0</v>
      </c>
      <c r="N42" s="301">
        <f>V42*E42</f>
        <v>0</v>
      </c>
      <c r="O42" s="70"/>
      <c r="P42" s="70"/>
      <c r="S42" s="8"/>
      <c r="T42" s="8"/>
      <c r="U42" s="8"/>
      <c r="V42" s="8">
        <f>VLOOKUP(C42,Example!$AZ$8:$BE$81,5,FALSE)</f>
        <v>0</v>
      </c>
      <c r="AE42" s="92" t="s">
        <v>77</v>
      </c>
      <c r="AF42" s="92">
        <v>25.7</v>
      </c>
      <c r="AG42" s="92">
        <v>60.2</v>
      </c>
      <c r="AH42" s="92">
        <v>0.2</v>
      </c>
      <c r="AI42" s="92">
        <v>0.2</v>
      </c>
      <c r="AJ42" s="7" t="s">
        <v>74</v>
      </c>
      <c r="AS42" s="94" t="s">
        <v>224</v>
      </c>
      <c r="AT42" s="95">
        <v>0</v>
      </c>
      <c r="AU42" s="95">
        <v>0</v>
      </c>
      <c r="AV42" s="95">
        <v>0</v>
      </c>
      <c r="AW42" s="95" t="s">
        <v>225</v>
      </c>
      <c r="AX42" s="96" t="s">
        <v>83</v>
      </c>
      <c r="AZ42" s="97" t="s">
        <v>331</v>
      </c>
      <c r="BA42" s="98" t="s">
        <v>317</v>
      </c>
      <c r="BB42" s="98" t="s">
        <v>317</v>
      </c>
      <c r="BC42" s="98" t="s">
        <v>317</v>
      </c>
      <c r="BD42" s="98" t="s">
        <v>374</v>
      </c>
      <c r="BE42" s="99"/>
    </row>
    <row r="43" spans="2:57" ht="15" customHeight="1" x14ac:dyDescent="0.3">
      <c r="B43" s="158"/>
      <c r="C43" s="141"/>
      <c r="D43" s="141"/>
      <c r="E43" s="142"/>
      <c r="F43" s="142"/>
      <c r="G43" s="312" t="s">
        <v>34</v>
      </c>
      <c r="H43" s="312"/>
      <c r="I43" s="312"/>
      <c r="J43" s="312"/>
      <c r="K43" s="312"/>
      <c r="L43" s="312"/>
      <c r="M43" s="162"/>
      <c r="N43" s="302">
        <f>SUM(N40:N42)</f>
        <v>393</v>
      </c>
      <c r="O43" s="6"/>
      <c r="P43" s="6"/>
      <c r="AE43" s="92" t="s">
        <v>80</v>
      </c>
      <c r="AF43" s="92">
        <v>31.4</v>
      </c>
      <c r="AG43" s="92">
        <v>69.8</v>
      </c>
      <c r="AH43" s="92">
        <v>0.01</v>
      </c>
      <c r="AI43" s="92">
        <v>0.01</v>
      </c>
      <c r="AJ43" s="7" t="s">
        <v>74</v>
      </c>
      <c r="AS43" s="94" t="s">
        <v>214</v>
      </c>
      <c r="AT43" s="95">
        <v>0</v>
      </c>
      <c r="AU43" s="95">
        <v>0</v>
      </c>
      <c r="AV43" s="95">
        <v>0</v>
      </c>
      <c r="AW43" s="95" t="s">
        <v>226</v>
      </c>
      <c r="AX43" s="96" t="s">
        <v>74</v>
      </c>
      <c r="AZ43" s="97" t="s">
        <v>224</v>
      </c>
      <c r="BA43" s="98">
        <v>0</v>
      </c>
      <c r="BB43" s="98">
        <v>0</v>
      </c>
      <c r="BC43" s="98">
        <v>0</v>
      </c>
      <c r="BD43" s="98" t="s">
        <v>225</v>
      </c>
      <c r="BE43" s="99" t="s">
        <v>83</v>
      </c>
    </row>
    <row r="44" spans="2:57" ht="15" customHeight="1" x14ac:dyDescent="0.3">
      <c r="E44" s="20"/>
      <c r="F44" s="20"/>
      <c r="G44" s="160"/>
      <c r="H44" s="160"/>
      <c r="I44" s="160"/>
      <c r="J44" s="160"/>
      <c r="K44" s="160"/>
      <c r="L44" s="160"/>
      <c r="M44" s="24"/>
      <c r="N44" s="24"/>
      <c r="O44" s="6"/>
      <c r="P44" s="6"/>
      <c r="AE44" s="92" t="s">
        <v>220</v>
      </c>
      <c r="AF44" s="92">
        <v>3.9300000000000002E-2</v>
      </c>
      <c r="AG44" s="92">
        <v>51.4</v>
      </c>
      <c r="AH44" s="92">
        <v>0.1</v>
      </c>
      <c r="AI44" s="92">
        <v>0.03</v>
      </c>
      <c r="AJ44" s="7" t="s">
        <v>93</v>
      </c>
      <c r="AS44" s="94" t="s">
        <v>215</v>
      </c>
      <c r="AT44" s="95">
        <v>0</v>
      </c>
      <c r="AU44" s="95">
        <v>0</v>
      </c>
      <c r="AV44" s="95">
        <v>0</v>
      </c>
      <c r="AW44" s="95" t="s">
        <v>186</v>
      </c>
      <c r="AX44" s="96" t="s">
        <v>74</v>
      </c>
      <c r="AZ44" s="97" t="s">
        <v>214</v>
      </c>
      <c r="BA44" s="98">
        <v>0</v>
      </c>
      <c r="BB44" s="98">
        <v>0</v>
      </c>
      <c r="BC44" s="98">
        <v>0</v>
      </c>
      <c r="BD44" s="98" t="s">
        <v>226</v>
      </c>
      <c r="BE44" s="99" t="s">
        <v>74</v>
      </c>
    </row>
    <row r="45" spans="2:57" ht="15" customHeight="1" x14ac:dyDescent="0.3">
      <c r="B45" s="126"/>
      <c r="C45" s="313" t="s">
        <v>356</v>
      </c>
      <c r="D45" s="202"/>
      <c r="E45" s="315" t="s">
        <v>5</v>
      </c>
      <c r="F45" s="202"/>
      <c r="G45" s="316" t="s">
        <v>6</v>
      </c>
      <c r="H45" s="152"/>
      <c r="I45" s="317"/>
      <c r="J45" s="317"/>
      <c r="K45" s="317"/>
      <c r="L45" s="152"/>
      <c r="M45" s="202"/>
      <c r="N45" s="201" t="s">
        <v>9</v>
      </c>
      <c r="O45" s="46"/>
      <c r="P45" s="46"/>
      <c r="AE45" s="92" t="s">
        <v>227</v>
      </c>
      <c r="AF45" s="92">
        <v>10.5</v>
      </c>
      <c r="AG45" s="92">
        <v>87.1</v>
      </c>
      <c r="AH45" s="92">
        <v>0.8</v>
      </c>
      <c r="AI45" s="92">
        <v>1</v>
      </c>
      <c r="AJ45" s="7" t="s">
        <v>83</v>
      </c>
      <c r="AS45" s="94" t="s">
        <v>217</v>
      </c>
      <c r="AT45" s="95">
        <v>0</v>
      </c>
      <c r="AU45" s="95">
        <v>0</v>
      </c>
      <c r="AV45" s="95">
        <v>0</v>
      </c>
      <c r="AW45" s="95" t="s">
        <v>92</v>
      </c>
      <c r="AX45" s="96" t="s">
        <v>93</v>
      </c>
      <c r="AZ45" s="97" t="s">
        <v>215</v>
      </c>
      <c r="BA45" s="98">
        <v>0</v>
      </c>
      <c r="BB45" s="98">
        <v>0</v>
      </c>
      <c r="BC45" s="98">
        <v>0</v>
      </c>
      <c r="BD45" s="98" t="s">
        <v>186</v>
      </c>
      <c r="BE45" s="99" t="s">
        <v>74</v>
      </c>
    </row>
    <row r="46" spans="2:57" ht="15" customHeight="1" x14ac:dyDescent="0.3">
      <c r="B46" s="153"/>
      <c r="C46" s="314"/>
      <c r="D46" s="201"/>
      <c r="E46" s="316"/>
      <c r="F46" s="201"/>
      <c r="G46" s="316"/>
      <c r="H46" s="26"/>
      <c r="I46" s="1"/>
      <c r="J46" s="1"/>
      <c r="K46" s="26"/>
      <c r="L46" s="201"/>
      <c r="M46" s="1"/>
      <c r="N46" s="154" t="s">
        <v>15</v>
      </c>
      <c r="O46" s="75"/>
      <c r="P46" s="75"/>
      <c r="AE46" s="92" t="s">
        <v>103</v>
      </c>
      <c r="AF46" s="92">
        <v>23.4</v>
      </c>
      <c r="AG46" s="92">
        <v>0</v>
      </c>
      <c r="AH46" s="92">
        <v>0.08</v>
      </c>
      <c r="AI46" s="92">
        <v>0.2</v>
      </c>
      <c r="AJ46" s="7" t="s">
        <v>74</v>
      </c>
      <c r="AS46" s="94" t="s">
        <v>218</v>
      </c>
      <c r="AT46" s="95">
        <v>0</v>
      </c>
      <c r="AU46" s="95">
        <v>0</v>
      </c>
      <c r="AV46" s="95">
        <v>0</v>
      </c>
      <c r="AW46" s="95" t="s">
        <v>79</v>
      </c>
      <c r="AX46" s="96" t="s">
        <v>74</v>
      </c>
      <c r="AZ46" s="97" t="s">
        <v>217</v>
      </c>
      <c r="BA46" s="98">
        <v>0</v>
      </c>
      <c r="BB46" s="98">
        <v>0</v>
      </c>
      <c r="BC46" s="98">
        <v>0</v>
      </c>
      <c r="BD46" s="98" t="s">
        <v>92</v>
      </c>
      <c r="BE46" s="99" t="s">
        <v>93</v>
      </c>
    </row>
    <row r="47" spans="2:57" ht="15" customHeight="1" x14ac:dyDescent="0.3">
      <c r="B47" s="155"/>
      <c r="C47" s="156" t="s">
        <v>35</v>
      </c>
      <c r="D47" s="156"/>
      <c r="E47" s="138" t="s">
        <v>17</v>
      </c>
      <c r="F47" s="138"/>
      <c r="G47" s="138"/>
      <c r="H47" s="137"/>
      <c r="I47" s="137"/>
      <c r="J47" s="137"/>
      <c r="K47" s="137"/>
      <c r="L47" s="137"/>
      <c r="M47" s="137"/>
      <c r="N47" s="157"/>
      <c r="O47" s="5"/>
      <c r="P47" s="5"/>
      <c r="S47" s="8" t="s">
        <v>18</v>
      </c>
      <c r="T47" s="8" t="s">
        <v>19</v>
      </c>
      <c r="U47" s="8" t="s">
        <v>20</v>
      </c>
      <c r="V47" s="8" t="s">
        <v>21</v>
      </c>
      <c r="AE47" s="92" t="s">
        <v>228</v>
      </c>
      <c r="AF47" s="92">
        <v>3.7699999999999997E-2</v>
      </c>
      <c r="AG47" s="92">
        <v>0</v>
      </c>
      <c r="AH47" s="92">
        <v>6.4</v>
      </c>
      <c r="AI47" s="92">
        <v>0.03</v>
      </c>
      <c r="AJ47" s="7" t="s">
        <v>93</v>
      </c>
      <c r="AS47" s="94" t="s">
        <v>221</v>
      </c>
      <c r="AT47" s="95">
        <v>0</v>
      </c>
      <c r="AU47" s="95">
        <v>0</v>
      </c>
      <c r="AV47" s="95">
        <v>0</v>
      </c>
      <c r="AW47" s="95" t="s">
        <v>191</v>
      </c>
      <c r="AX47" s="96" t="s">
        <v>74</v>
      </c>
      <c r="AZ47" s="97" t="s">
        <v>218</v>
      </c>
      <c r="BA47" s="98">
        <v>0</v>
      </c>
      <c r="BB47" s="98">
        <v>0</v>
      </c>
      <c r="BC47" s="98">
        <v>0</v>
      </c>
      <c r="BD47" s="98" t="s">
        <v>79</v>
      </c>
      <c r="BE47" s="99" t="s">
        <v>74</v>
      </c>
    </row>
    <row r="48" spans="2:57" ht="15" customHeight="1" x14ac:dyDescent="0.3">
      <c r="B48" s="155"/>
      <c r="C48" s="214" t="s">
        <v>177</v>
      </c>
      <c r="D48" s="137"/>
      <c r="E48" s="298">
        <v>1000000</v>
      </c>
      <c r="F48" s="138"/>
      <c r="G48" s="20" t="str">
        <f>VLOOKUP(C48,Example!$AS$8:$AX$71,6,FALSE)</f>
        <v>m3</v>
      </c>
      <c r="I48" s="22"/>
      <c r="J48" s="22"/>
      <c r="K48" s="161"/>
      <c r="L48" s="22"/>
      <c r="M48" s="22">
        <f>E48*I48/1000</f>
        <v>0</v>
      </c>
      <c r="N48" s="301">
        <f>V48*E48</f>
        <v>37700</v>
      </c>
      <c r="O48" s="70"/>
      <c r="P48" s="70"/>
      <c r="S48" s="8"/>
      <c r="T48" s="8"/>
      <c r="U48" s="8"/>
      <c r="V48" s="8">
        <f>VLOOKUP(C48,Example!$AS$8:$AX$71,5,FALSE)</f>
        <v>3.7699999999999997E-2</v>
      </c>
      <c r="AE48" s="92" t="s">
        <v>216</v>
      </c>
      <c r="AF48" s="92">
        <v>3.9300000000000002E-2</v>
      </c>
      <c r="AG48" s="92">
        <v>51.4</v>
      </c>
      <c r="AH48" s="92">
        <v>0.1</v>
      </c>
      <c r="AI48" s="92">
        <v>0.03</v>
      </c>
      <c r="AJ48" s="7" t="s">
        <v>93</v>
      </c>
      <c r="AS48" s="94" t="s">
        <v>77</v>
      </c>
      <c r="AT48" s="95">
        <v>0</v>
      </c>
      <c r="AU48" s="95">
        <v>0</v>
      </c>
      <c r="AV48" s="95">
        <v>0</v>
      </c>
      <c r="AW48" s="95" t="s">
        <v>230</v>
      </c>
      <c r="AX48" s="96" t="s">
        <v>74</v>
      </c>
      <c r="AZ48" s="97" t="s">
        <v>221</v>
      </c>
      <c r="BA48" s="98">
        <v>0</v>
      </c>
      <c r="BB48" s="98">
        <v>0</v>
      </c>
      <c r="BC48" s="98">
        <v>0</v>
      </c>
      <c r="BD48" s="98" t="s">
        <v>191</v>
      </c>
      <c r="BE48" s="99" t="s">
        <v>74</v>
      </c>
    </row>
    <row r="49" spans="2:57" ht="15" customHeight="1" x14ac:dyDescent="0.3">
      <c r="B49" s="155"/>
      <c r="C49" s="214" t="s">
        <v>22</v>
      </c>
      <c r="D49" s="137"/>
      <c r="E49" s="304"/>
      <c r="F49" s="138"/>
      <c r="G49" s="20" t="str">
        <f>VLOOKUP(C49,Example!$AS$8:$AX$71,6,FALSE)</f>
        <v>-</v>
      </c>
      <c r="I49" s="22"/>
      <c r="J49" s="22"/>
      <c r="K49" s="161"/>
      <c r="L49" s="22"/>
      <c r="M49" s="22"/>
      <c r="N49" s="301">
        <f>V49*E49</f>
        <v>0</v>
      </c>
      <c r="O49" s="70"/>
      <c r="P49" s="70"/>
      <c r="S49" s="8"/>
      <c r="T49" s="8"/>
      <c r="U49" s="8"/>
      <c r="V49" s="8">
        <f>VLOOKUP(C49,Example!$AS$8:$AX$71,5,FALSE)</f>
        <v>0</v>
      </c>
      <c r="AE49" s="92" t="s">
        <v>229</v>
      </c>
      <c r="AF49" s="92">
        <v>46.5</v>
      </c>
      <c r="AG49" s="92">
        <v>61</v>
      </c>
      <c r="AH49" s="92">
        <v>0.08</v>
      </c>
      <c r="AI49" s="92">
        <v>0.2</v>
      </c>
      <c r="AJ49" s="7" t="s">
        <v>83</v>
      </c>
      <c r="AS49" s="94" t="s">
        <v>80</v>
      </c>
      <c r="AT49" s="95">
        <v>0</v>
      </c>
      <c r="AU49" s="95">
        <v>0</v>
      </c>
      <c r="AV49" s="95">
        <v>0</v>
      </c>
      <c r="AW49" s="95" t="s">
        <v>231</v>
      </c>
      <c r="AX49" s="96" t="s">
        <v>74</v>
      </c>
      <c r="AZ49" s="97" t="s">
        <v>77</v>
      </c>
      <c r="BA49" s="98">
        <v>0</v>
      </c>
      <c r="BB49" s="98">
        <v>0</v>
      </c>
      <c r="BC49" s="98">
        <v>0</v>
      </c>
      <c r="BD49" s="98" t="s">
        <v>230</v>
      </c>
      <c r="BE49" s="99" t="s">
        <v>74</v>
      </c>
    </row>
    <row r="50" spans="2:57" ht="15" customHeight="1" x14ac:dyDescent="0.3">
      <c r="B50" s="155"/>
      <c r="C50" s="214" t="s">
        <v>22</v>
      </c>
      <c r="D50" s="137"/>
      <c r="E50" s="303"/>
      <c r="F50" s="138"/>
      <c r="G50" s="20" t="str">
        <f>VLOOKUP(C50,Example!$AS$8:$AX$71,6,FALSE)</f>
        <v>-</v>
      </c>
      <c r="I50" s="22"/>
      <c r="J50" s="322"/>
      <c r="K50" s="322"/>
      <c r="L50" s="22"/>
      <c r="M50" s="22">
        <f>E50*I50/1000</f>
        <v>0</v>
      </c>
      <c r="N50" s="301">
        <f>V50*E50</f>
        <v>0</v>
      </c>
      <c r="O50" s="70"/>
      <c r="P50" s="70"/>
      <c r="S50" s="8"/>
      <c r="T50" s="8"/>
      <c r="U50" s="8"/>
      <c r="V50" s="8">
        <f>VLOOKUP(C50,Example!$AS$8:$AX$71,5,FALSE)</f>
        <v>0</v>
      </c>
      <c r="AE50" s="92" t="s">
        <v>90</v>
      </c>
      <c r="AF50" s="92">
        <v>34.4</v>
      </c>
      <c r="AG50" s="92">
        <v>69.8</v>
      </c>
      <c r="AH50" s="92">
        <v>0.02</v>
      </c>
      <c r="AI50" s="92">
        <v>0.1</v>
      </c>
      <c r="AJ50" s="101" t="s">
        <v>74</v>
      </c>
      <c r="AS50" s="106" t="s">
        <v>220</v>
      </c>
      <c r="AT50" s="95">
        <v>0</v>
      </c>
      <c r="AU50" s="95">
        <v>0</v>
      </c>
      <c r="AV50" s="95">
        <v>0</v>
      </c>
      <c r="AW50" s="95" t="s">
        <v>115</v>
      </c>
      <c r="AX50" s="96" t="s">
        <v>93</v>
      </c>
      <c r="AZ50" s="97" t="s">
        <v>80</v>
      </c>
      <c r="BA50" s="98">
        <v>0</v>
      </c>
      <c r="BB50" s="98">
        <v>0</v>
      </c>
      <c r="BC50" s="98">
        <v>0</v>
      </c>
      <c r="BD50" s="98" t="s">
        <v>231</v>
      </c>
      <c r="BE50" s="99" t="s">
        <v>74</v>
      </c>
    </row>
    <row r="51" spans="2:57" ht="15" customHeight="1" x14ac:dyDescent="0.3">
      <c r="B51" s="158"/>
      <c r="C51" s="141"/>
      <c r="D51" s="141"/>
      <c r="E51" s="142"/>
      <c r="F51" s="142"/>
      <c r="G51" s="312" t="s">
        <v>36</v>
      </c>
      <c r="H51" s="312"/>
      <c r="I51" s="312"/>
      <c r="J51" s="312"/>
      <c r="K51" s="312"/>
      <c r="L51" s="312"/>
      <c r="M51" s="162"/>
      <c r="N51" s="302">
        <f>SUM(N48:N50)</f>
        <v>37700</v>
      </c>
      <c r="O51" s="6"/>
      <c r="P51" s="6"/>
      <c r="AE51" s="92" t="s">
        <v>232</v>
      </c>
      <c r="AF51" s="92">
        <v>12.2</v>
      </c>
      <c r="AG51" s="92">
        <v>0</v>
      </c>
      <c r="AH51" s="92">
        <v>0.8</v>
      </c>
      <c r="AI51" s="92">
        <v>1</v>
      </c>
      <c r="AJ51" s="7" t="s">
        <v>83</v>
      </c>
      <c r="AS51" s="94" t="s">
        <v>234</v>
      </c>
      <c r="AT51" s="95">
        <v>0</v>
      </c>
      <c r="AU51" s="95">
        <v>0</v>
      </c>
      <c r="AV51" s="95">
        <v>0</v>
      </c>
      <c r="AW51" s="95" t="s">
        <v>235</v>
      </c>
      <c r="AX51" s="96" t="s">
        <v>83</v>
      </c>
      <c r="AZ51" s="107" t="s">
        <v>220</v>
      </c>
      <c r="BA51" s="98">
        <v>0</v>
      </c>
      <c r="BB51" s="98">
        <v>0</v>
      </c>
      <c r="BC51" s="98">
        <v>0</v>
      </c>
      <c r="BD51" s="98" t="s">
        <v>115</v>
      </c>
      <c r="BE51" s="99" t="s">
        <v>93</v>
      </c>
    </row>
    <row r="52" spans="2:57" ht="15" customHeight="1" x14ac:dyDescent="0.3">
      <c r="E52" s="20"/>
      <c r="F52" s="20"/>
      <c r="G52" s="160"/>
      <c r="H52" s="160"/>
      <c r="I52" s="160"/>
      <c r="J52" s="160"/>
      <c r="K52" s="160"/>
      <c r="L52" s="160"/>
      <c r="M52" s="24"/>
      <c r="N52" s="197"/>
      <c r="AE52" s="92" t="s">
        <v>233</v>
      </c>
      <c r="AF52" s="92">
        <v>22.1</v>
      </c>
      <c r="AG52" s="92">
        <v>95</v>
      </c>
      <c r="AH52" s="92">
        <v>0.08</v>
      </c>
      <c r="AI52" s="92">
        <v>0.2</v>
      </c>
      <c r="AJ52" s="7" t="s">
        <v>83</v>
      </c>
      <c r="AS52" s="94" t="s">
        <v>229</v>
      </c>
      <c r="AT52" s="95">
        <v>0</v>
      </c>
      <c r="AU52" s="95">
        <v>0</v>
      </c>
      <c r="AV52" s="95">
        <v>0</v>
      </c>
      <c r="AW52" s="95" t="s">
        <v>237</v>
      </c>
      <c r="AX52" s="96" t="s">
        <v>83</v>
      </c>
      <c r="AZ52" s="97" t="s">
        <v>234</v>
      </c>
      <c r="BA52" s="98">
        <v>0</v>
      </c>
      <c r="BB52" s="98">
        <v>0</v>
      </c>
      <c r="BC52" s="98">
        <v>0</v>
      </c>
      <c r="BD52" s="98" t="s">
        <v>235</v>
      </c>
      <c r="BE52" s="99" t="s">
        <v>83</v>
      </c>
    </row>
    <row r="53" spans="2:57" ht="15" customHeight="1" x14ac:dyDescent="0.35">
      <c r="B53" s="126"/>
      <c r="C53" s="313" t="s">
        <v>357</v>
      </c>
      <c r="D53" s="202"/>
      <c r="E53" s="315"/>
      <c r="F53" s="202"/>
      <c r="G53" s="315"/>
      <c r="H53" s="152"/>
      <c r="I53" s="317" t="s">
        <v>37</v>
      </c>
      <c r="J53" s="317"/>
      <c r="K53" s="317"/>
      <c r="L53" s="152"/>
      <c r="M53" s="202" t="s">
        <v>8</v>
      </c>
      <c r="N53" s="63"/>
      <c r="O53" s="76"/>
      <c r="P53" s="76"/>
      <c r="AE53" s="92" t="s">
        <v>236</v>
      </c>
      <c r="AF53" s="92">
        <v>38.799999999999997</v>
      </c>
      <c r="AG53" s="92">
        <v>3.5</v>
      </c>
      <c r="AH53" s="92">
        <v>0</v>
      </c>
      <c r="AI53" s="92">
        <v>0</v>
      </c>
      <c r="AJ53" s="7" t="s">
        <v>74</v>
      </c>
      <c r="AS53" s="94" t="s">
        <v>236</v>
      </c>
      <c r="AT53" s="95">
        <v>0</v>
      </c>
      <c r="AU53" s="95">
        <v>0</v>
      </c>
      <c r="AV53" s="95">
        <v>0</v>
      </c>
      <c r="AW53" s="95" t="s">
        <v>76</v>
      </c>
      <c r="AX53" s="96" t="s">
        <v>74</v>
      </c>
      <c r="AZ53" s="97" t="s">
        <v>229</v>
      </c>
      <c r="BA53" s="98">
        <v>0</v>
      </c>
      <c r="BB53" s="98">
        <v>0</v>
      </c>
      <c r="BC53" s="98">
        <v>0</v>
      </c>
      <c r="BD53" s="98" t="s">
        <v>237</v>
      </c>
      <c r="BE53" s="99" t="s">
        <v>83</v>
      </c>
    </row>
    <row r="54" spans="2:57" ht="15" customHeight="1" x14ac:dyDescent="0.3">
      <c r="B54" s="153"/>
      <c r="C54" s="314"/>
      <c r="D54" s="201"/>
      <c r="E54" s="316"/>
      <c r="F54" s="201"/>
      <c r="G54" s="316"/>
      <c r="H54" s="26"/>
      <c r="I54" s="1" t="s">
        <v>11</v>
      </c>
      <c r="J54" s="1" t="s">
        <v>12</v>
      </c>
      <c r="K54" s="1" t="s">
        <v>13</v>
      </c>
      <c r="L54" s="201"/>
      <c r="M54" s="1" t="s">
        <v>14</v>
      </c>
      <c r="N54" s="154"/>
      <c r="O54" s="76"/>
      <c r="P54" s="76"/>
      <c r="AE54" s="92" t="s">
        <v>75</v>
      </c>
      <c r="AF54" s="92">
        <v>38.799999999999997</v>
      </c>
      <c r="AG54" s="92">
        <v>13.9</v>
      </c>
      <c r="AH54" s="92">
        <v>0</v>
      </c>
      <c r="AI54" s="92">
        <v>0</v>
      </c>
      <c r="AJ54" s="7" t="s">
        <v>74</v>
      </c>
      <c r="AS54" s="94" t="s">
        <v>75</v>
      </c>
      <c r="AT54" s="95">
        <v>0</v>
      </c>
      <c r="AU54" s="95">
        <v>0</v>
      </c>
      <c r="AV54" s="95">
        <v>0</v>
      </c>
      <c r="AW54" s="95" t="s">
        <v>76</v>
      </c>
      <c r="AX54" s="96" t="s">
        <v>74</v>
      </c>
      <c r="AZ54" s="97" t="s">
        <v>236</v>
      </c>
      <c r="BA54" s="98">
        <v>0</v>
      </c>
      <c r="BB54" s="98">
        <v>0</v>
      </c>
      <c r="BC54" s="98">
        <v>0</v>
      </c>
      <c r="BD54" s="98" t="s">
        <v>76</v>
      </c>
      <c r="BE54" s="99" t="s">
        <v>74</v>
      </c>
    </row>
    <row r="55" spans="2:57" ht="15" customHeight="1" x14ac:dyDescent="0.3">
      <c r="B55" s="155"/>
      <c r="C55" s="138" t="s">
        <v>38</v>
      </c>
      <c r="D55" s="138"/>
      <c r="E55" s="138"/>
      <c r="F55" s="138"/>
      <c r="G55" s="138"/>
      <c r="H55" s="137"/>
      <c r="I55" s="372" t="s">
        <v>238</v>
      </c>
      <c r="J55" s="372"/>
      <c r="K55" s="372"/>
      <c r="L55" s="137"/>
      <c r="M55" s="198"/>
      <c r="N55" s="157"/>
      <c r="O55" s="9"/>
      <c r="P55" s="9"/>
      <c r="S55" s="2">
        <v>0</v>
      </c>
      <c r="AE55" s="92" t="s">
        <v>81</v>
      </c>
      <c r="AF55" s="92">
        <v>34.200000000000003</v>
      </c>
      <c r="AG55" s="92">
        <v>92.6</v>
      </c>
      <c r="AH55" s="92">
        <v>0.08</v>
      </c>
      <c r="AI55" s="92">
        <v>0.2</v>
      </c>
      <c r="AJ55" s="101" t="s">
        <v>83</v>
      </c>
      <c r="AS55" s="108" t="s">
        <v>78</v>
      </c>
      <c r="AT55" s="95">
        <v>0</v>
      </c>
      <c r="AU55" s="95">
        <v>0</v>
      </c>
      <c r="AV55" s="95">
        <v>0</v>
      </c>
      <c r="AW55" s="95" t="s">
        <v>79</v>
      </c>
      <c r="AX55" s="96" t="s">
        <v>74</v>
      </c>
      <c r="AZ55" s="97" t="s">
        <v>75</v>
      </c>
      <c r="BA55" s="98">
        <v>0</v>
      </c>
      <c r="BB55" s="98">
        <v>0</v>
      </c>
      <c r="BC55" s="98">
        <v>0</v>
      </c>
      <c r="BD55" s="98" t="s">
        <v>76</v>
      </c>
      <c r="BE55" s="99" t="s">
        <v>74</v>
      </c>
    </row>
    <row r="56" spans="2:57" s="9" customFormat="1" ht="15" customHeight="1" x14ac:dyDescent="0.3">
      <c r="B56" s="155"/>
      <c r="C56" s="216" t="s">
        <v>239</v>
      </c>
      <c r="D56" s="137"/>
      <c r="E56" s="217"/>
      <c r="F56" s="138"/>
      <c r="G56" s="138"/>
      <c r="H56" s="156"/>
      <c r="I56" s="218">
        <v>0</v>
      </c>
      <c r="J56" s="219">
        <v>791</v>
      </c>
      <c r="K56" s="220">
        <v>0</v>
      </c>
      <c r="L56" s="203"/>
      <c r="M56" s="300">
        <f>SUM(I56:K56)</f>
        <v>791</v>
      </c>
      <c r="N56" s="140"/>
      <c r="O56" s="12"/>
      <c r="P56" s="12"/>
      <c r="S56" s="9">
        <v>25000</v>
      </c>
      <c r="X56" s="2"/>
      <c r="Y56" s="2"/>
      <c r="Z56" s="2"/>
      <c r="AA56" s="2"/>
      <c r="AB56" s="2"/>
      <c r="AC56" s="2"/>
      <c r="AE56" s="92" t="s">
        <v>88</v>
      </c>
      <c r="AF56" s="92">
        <v>34.200000000000003</v>
      </c>
      <c r="AG56" s="92">
        <v>92.6</v>
      </c>
      <c r="AH56" s="92">
        <v>0.08</v>
      </c>
      <c r="AI56" s="92">
        <v>0.2</v>
      </c>
      <c r="AJ56" s="101" t="s">
        <v>83</v>
      </c>
      <c r="AS56" s="94" t="s">
        <v>81</v>
      </c>
      <c r="AT56" s="95">
        <v>0</v>
      </c>
      <c r="AU56" s="95">
        <v>0</v>
      </c>
      <c r="AV56" s="95">
        <v>0</v>
      </c>
      <c r="AW56" s="95" t="s">
        <v>82</v>
      </c>
      <c r="AX56" s="96" t="s">
        <v>83</v>
      </c>
      <c r="AZ56" s="109" t="s">
        <v>90</v>
      </c>
      <c r="BA56" s="98">
        <v>0</v>
      </c>
      <c r="BB56" s="98">
        <v>0</v>
      </c>
      <c r="BC56" s="98">
        <v>0</v>
      </c>
      <c r="BD56" s="98" t="s">
        <v>79</v>
      </c>
      <c r="BE56" s="99" t="s">
        <v>74</v>
      </c>
    </row>
    <row r="57" spans="2:57" s="9" customFormat="1" ht="15" customHeight="1" x14ac:dyDescent="0.3">
      <c r="B57" s="155"/>
      <c r="C57" s="215"/>
      <c r="D57" s="137"/>
      <c r="E57" s="217"/>
      <c r="F57" s="138"/>
      <c r="G57" s="138"/>
      <c r="H57" s="156"/>
      <c r="I57" s="221">
        <v>0</v>
      </c>
      <c r="J57" s="222">
        <v>0</v>
      </c>
      <c r="K57" s="223">
        <v>0</v>
      </c>
      <c r="L57" s="203"/>
      <c r="M57" s="300">
        <f>SUM(I57:K57)</f>
        <v>0</v>
      </c>
      <c r="N57" s="140">
        <f t="shared" ref="N57" si="7">T57*E57</f>
        <v>0</v>
      </c>
      <c r="O57" s="210"/>
      <c r="P57" s="210"/>
      <c r="X57" s="2"/>
      <c r="Y57" s="2"/>
      <c r="Z57" s="2"/>
      <c r="AA57" s="2"/>
      <c r="AB57" s="2"/>
      <c r="AC57" s="2"/>
      <c r="AE57" s="92" t="s">
        <v>87</v>
      </c>
      <c r="AF57" s="92">
        <v>42.9</v>
      </c>
      <c r="AG57" s="92">
        <v>54.7</v>
      </c>
      <c r="AH57" s="92">
        <v>0.03</v>
      </c>
      <c r="AI57" s="92">
        <v>0.03</v>
      </c>
      <c r="AJ57" s="101" t="s">
        <v>83</v>
      </c>
      <c r="AS57" s="110" t="s">
        <v>232</v>
      </c>
      <c r="AT57" s="111">
        <v>0</v>
      </c>
      <c r="AU57" s="111">
        <v>0</v>
      </c>
      <c r="AV57" s="111">
        <v>0</v>
      </c>
      <c r="AW57" s="111" t="s">
        <v>85</v>
      </c>
      <c r="AX57" s="112" t="s">
        <v>83</v>
      </c>
      <c r="AZ57" s="97" t="s">
        <v>81</v>
      </c>
      <c r="BA57" s="98">
        <v>0</v>
      </c>
      <c r="BB57" s="98">
        <v>0</v>
      </c>
      <c r="BC57" s="98">
        <v>0</v>
      </c>
      <c r="BD57" s="98" t="s">
        <v>82</v>
      </c>
      <c r="BE57" s="99" t="s">
        <v>83</v>
      </c>
    </row>
    <row r="58" spans="2:57" s="9" customFormat="1" ht="15" customHeight="1" x14ac:dyDescent="0.3">
      <c r="B58" s="158"/>
      <c r="C58" s="141"/>
      <c r="D58" s="141"/>
      <c r="E58" s="142"/>
      <c r="F58" s="142"/>
      <c r="G58" s="312" t="s">
        <v>39</v>
      </c>
      <c r="H58" s="312"/>
      <c r="I58" s="371"/>
      <c r="J58" s="371"/>
      <c r="K58" s="371"/>
      <c r="L58" s="312"/>
      <c r="M58" s="305">
        <f>SUM(M56:M57)</f>
        <v>791</v>
      </c>
      <c r="N58" s="143"/>
      <c r="O58" s="54"/>
      <c r="P58" s="54"/>
      <c r="AE58" s="92" t="s">
        <v>333</v>
      </c>
      <c r="AF58" s="92">
        <v>36.799999999999997</v>
      </c>
      <c r="AG58" s="92">
        <v>0</v>
      </c>
      <c r="AH58" s="92">
        <v>0.02</v>
      </c>
      <c r="AI58" s="92">
        <v>0.2</v>
      </c>
      <c r="AJ58" s="88" t="s">
        <v>74</v>
      </c>
      <c r="AS58" s="110" t="s">
        <v>88</v>
      </c>
      <c r="AT58" s="111">
        <v>0</v>
      </c>
      <c r="AU58" s="111">
        <v>0</v>
      </c>
      <c r="AV58" s="111">
        <v>0</v>
      </c>
      <c r="AW58" s="111" t="s">
        <v>82</v>
      </c>
      <c r="AX58" s="112" t="s">
        <v>83</v>
      </c>
      <c r="AZ58" s="113" t="s">
        <v>232</v>
      </c>
      <c r="BA58" s="114">
        <v>0</v>
      </c>
      <c r="BB58" s="114">
        <v>0</v>
      </c>
      <c r="BC58" s="114">
        <v>0</v>
      </c>
      <c r="BD58" s="114" t="s">
        <v>85</v>
      </c>
      <c r="BE58" s="102" t="s">
        <v>83</v>
      </c>
    </row>
    <row r="59" spans="2:57" s="9" customFormat="1" ht="15" customHeight="1" x14ac:dyDescent="0.3">
      <c r="B59" s="2"/>
      <c r="C59" s="2"/>
      <c r="D59" s="2"/>
      <c r="E59" s="2"/>
      <c r="F59" s="2"/>
      <c r="G59" s="2"/>
      <c r="H59" s="2"/>
      <c r="I59" s="2"/>
      <c r="J59" s="2"/>
      <c r="K59" s="2"/>
      <c r="L59" s="2"/>
      <c r="M59" s="2"/>
      <c r="N59" s="2"/>
      <c r="O59" s="11"/>
      <c r="P59" s="11"/>
      <c r="AE59" s="92" t="s">
        <v>334</v>
      </c>
      <c r="AF59" s="92">
        <v>38.6</v>
      </c>
      <c r="AG59" s="92">
        <v>0</v>
      </c>
      <c r="AH59" s="92">
        <v>0.1</v>
      </c>
      <c r="AI59" s="92">
        <v>0.2</v>
      </c>
      <c r="AJ59" s="88" t="s">
        <v>74</v>
      </c>
      <c r="AS59" s="110" t="s">
        <v>87</v>
      </c>
      <c r="AT59" s="111">
        <v>0</v>
      </c>
      <c r="AU59" s="111">
        <v>0</v>
      </c>
      <c r="AV59" s="111">
        <v>0</v>
      </c>
      <c r="AW59" s="111" t="s">
        <v>89</v>
      </c>
      <c r="AX59" s="112" t="s">
        <v>83</v>
      </c>
      <c r="AZ59" s="113" t="s">
        <v>88</v>
      </c>
      <c r="BA59" s="114">
        <v>0</v>
      </c>
      <c r="BB59" s="114">
        <v>0</v>
      </c>
      <c r="BC59" s="114">
        <v>0</v>
      </c>
      <c r="BD59" s="114" t="s">
        <v>82</v>
      </c>
      <c r="BE59" s="102" t="s">
        <v>83</v>
      </c>
    </row>
    <row r="60" spans="2:57" s="9" customFormat="1" ht="15" customHeight="1" x14ac:dyDescent="0.3">
      <c r="B60" s="116"/>
      <c r="C60" s="314" t="s">
        <v>365</v>
      </c>
      <c r="D60" s="314"/>
      <c r="E60" s="314"/>
      <c r="F60" s="314"/>
      <c r="G60" s="314"/>
      <c r="H60" s="314"/>
      <c r="I60" s="314"/>
      <c r="J60" s="314"/>
      <c r="K60" s="314"/>
      <c r="L60" s="314"/>
      <c r="M60" s="314"/>
      <c r="N60" s="314"/>
      <c r="O60" s="11"/>
      <c r="P60" s="11"/>
      <c r="AE60" s="92" t="s">
        <v>91</v>
      </c>
      <c r="AF60" s="92">
        <v>3.7699999999999997E-2</v>
      </c>
      <c r="AG60" s="92">
        <v>0</v>
      </c>
      <c r="AH60" s="92">
        <v>6.4</v>
      </c>
      <c r="AI60" s="92">
        <v>0.03</v>
      </c>
      <c r="AJ60" s="7" t="s">
        <v>93</v>
      </c>
      <c r="AS60" s="294" t="s">
        <v>333</v>
      </c>
      <c r="AT60" s="90" t="s">
        <v>317</v>
      </c>
      <c r="AU60" s="90" t="s">
        <v>317</v>
      </c>
      <c r="AV60" s="90" t="s">
        <v>317</v>
      </c>
      <c r="AW60" s="90" t="s">
        <v>186</v>
      </c>
      <c r="AX60" s="89" t="s">
        <v>74</v>
      </c>
      <c r="AZ60" s="113" t="s">
        <v>87</v>
      </c>
      <c r="BA60" s="114">
        <v>0</v>
      </c>
      <c r="BB60" s="114">
        <v>0</v>
      </c>
      <c r="BC60" s="114">
        <v>0</v>
      </c>
      <c r="BD60" s="114" t="s">
        <v>89</v>
      </c>
      <c r="BE60" s="102" t="s">
        <v>83</v>
      </c>
    </row>
    <row r="61" spans="2:57" s="9" customFormat="1" ht="15" customHeight="1" x14ac:dyDescent="0.3">
      <c r="B61" s="144"/>
      <c r="C61" s="314"/>
      <c r="D61" s="314"/>
      <c r="E61" s="314"/>
      <c r="F61" s="314"/>
      <c r="G61" s="314"/>
      <c r="H61" s="314"/>
      <c r="I61" s="314"/>
      <c r="J61" s="314"/>
      <c r="K61" s="314"/>
      <c r="L61" s="314"/>
      <c r="M61" s="314"/>
      <c r="N61" s="314"/>
      <c r="O61" s="76"/>
      <c r="P61" s="76"/>
      <c r="AE61" s="92" t="s">
        <v>73</v>
      </c>
      <c r="AF61" s="92">
        <v>34.4</v>
      </c>
      <c r="AG61" s="92">
        <v>69.7</v>
      </c>
      <c r="AH61" s="92">
        <v>0.03</v>
      </c>
      <c r="AI61" s="92">
        <v>0.2</v>
      </c>
      <c r="AJ61" s="7" t="s">
        <v>74</v>
      </c>
      <c r="AS61" s="294" t="s">
        <v>334</v>
      </c>
      <c r="AT61" s="90" t="s">
        <v>317</v>
      </c>
      <c r="AU61" s="90" t="s">
        <v>317</v>
      </c>
      <c r="AV61" s="90" t="s">
        <v>317</v>
      </c>
      <c r="AW61" s="90" t="s">
        <v>146</v>
      </c>
      <c r="AX61" s="89" t="s">
        <v>74</v>
      </c>
      <c r="AZ61" s="294" t="s">
        <v>333</v>
      </c>
      <c r="BA61" s="90" t="s">
        <v>317</v>
      </c>
      <c r="BB61" s="90" t="s">
        <v>317</v>
      </c>
      <c r="BC61" s="90" t="s">
        <v>317</v>
      </c>
      <c r="BD61" s="90" t="s">
        <v>186</v>
      </c>
      <c r="BE61" s="89" t="s">
        <v>74</v>
      </c>
    </row>
    <row r="62" spans="2:57" s="9" customFormat="1" ht="15" customHeight="1" x14ac:dyDescent="0.3">
      <c r="B62" s="144"/>
      <c r="C62" s="65" t="s">
        <v>42</v>
      </c>
      <c r="D62" s="370">
        <f>M16+M28+M58</f>
        <v>5510.2759999999998</v>
      </c>
      <c r="E62" s="370"/>
      <c r="F62" s="47"/>
      <c r="G62" s="210" t="s">
        <v>241</v>
      </c>
      <c r="N62" s="145"/>
      <c r="O62" s="76"/>
      <c r="P62" s="76"/>
      <c r="AE62" s="92" t="s">
        <v>240</v>
      </c>
      <c r="AF62" s="92">
        <v>21</v>
      </c>
      <c r="AG62" s="92">
        <v>90</v>
      </c>
      <c r="AH62" s="92">
        <v>0.04</v>
      </c>
      <c r="AI62" s="92">
        <v>0.2</v>
      </c>
      <c r="AJ62" s="7" t="s">
        <v>83</v>
      </c>
      <c r="AS62" s="110" t="s">
        <v>91</v>
      </c>
      <c r="AT62" s="111">
        <v>0</v>
      </c>
      <c r="AU62" s="111">
        <v>0</v>
      </c>
      <c r="AV62" s="111">
        <v>0</v>
      </c>
      <c r="AW62" s="111" t="s">
        <v>92</v>
      </c>
      <c r="AX62" s="112" t="s">
        <v>93</v>
      </c>
      <c r="AZ62" s="294" t="s">
        <v>334</v>
      </c>
      <c r="BA62" s="90" t="s">
        <v>317</v>
      </c>
      <c r="BB62" s="90" t="s">
        <v>317</v>
      </c>
      <c r="BC62" s="90" t="s">
        <v>317</v>
      </c>
      <c r="BD62" s="90" t="s">
        <v>146</v>
      </c>
      <c r="BE62" s="89" t="s">
        <v>74</v>
      </c>
    </row>
    <row r="63" spans="2:57" s="9" customFormat="1" ht="15" customHeight="1" x14ac:dyDescent="0.3">
      <c r="B63" s="146"/>
      <c r="C63" s="65" t="s">
        <v>44</v>
      </c>
      <c r="D63" s="370">
        <f>M35</f>
        <v>640.15555555556796</v>
      </c>
      <c r="E63" s="370"/>
      <c r="F63" s="47"/>
      <c r="G63" s="210" t="s">
        <v>241</v>
      </c>
      <c r="J63" s="12"/>
      <c r="K63" s="12"/>
      <c r="M63" s="48"/>
      <c r="N63" s="49"/>
      <c r="O63" s="71"/>
      <c r="P63" s="71"/>
      <c r="AE63" s="92" t="s">
        <v>109</v>
      </c>
      <c r="AF63" s="92">
        <v>12.4</v>
      </c>
      <c r="AG63" s="92">
        <v>0</v>
      </c>
      <c r="AH63" s="92">
        <v>0.08</v>
      </c>
      <c r="AI63" s="92">
        <v>0.5</v>
      </c>
      <c r="AJ63" s="7" t="s">
        <v>83</v>
      </c>
      <c r="AS63" s="110" t="s">
        <v>233</v>
      </c>
      <c r="AT63" s="111">
        <v>0</v>
      </c>
      <c r="AU63" s="111">
        <v>0</v>
      </c>
      <c r="AV63" s="111">
        <v>0</v>
      </c>
      <c r="AW63" s="111" t="s">
        <v>96</v>
      </c>
      <c r="AX63" s="112" t="s">
        <v>83</v>
      </c>
      <c r="AZ63" s="113" t="s">
        <v>91</v>
      </c>
      <c r="BA63" s="114">
        <v>0</v>
      </c>
      <c r="BB63" s="114">
        <v>0</v>
      </c>
      <c r="BC63" s="114">
        <v>0</v>
      </c>
      <c r="BD63" s="114" t="s">
        <v>92</v>
      </c>
      <c r="BE63" s="102" t="s">
        <v>93</v>
      </c>
    </row>
    <row r="64" spans="2:57" ht="15" customHeight="1" x14ac:dyDescent="0.3">
      <c r="B64" s="146"/>
      <c r="C64" s="14" t="s">
        <v>45</v>
      </c>
      <c r="D64" s="378">
        <f>D62+D63</f>
        <v>6150.4315555555677</v>
      </c>
      <c r="E64" s="379"/>
      <c r="F64" s="47"/>
      <c r="G64" s="16" t="s">
        <v>242</v>
      </c>
      <c r="H64" s="16"/>
      <c r="I64" s="380"/>
      <c r="J64" s="380"/>
      <c r="K64" s="380"/>
      <c r="L64" s="380"/>
      <c r="M64" s="380"/>
      <c r="N64" s="381"/>
      <c r="O64" s="200"/>
      <c r="P64" s="200"/>
      <c r="X64" s="9"/>
      <c r="Y64" s="9"/>
      <c r="Z64" s="9"/>
      <c r="AA64" s="9"/>
      <c r="AB64" s="9"/>
      <c r="AC64" s="9"/>
      <c r="AE64" s="92" t="s">
        <v>111</v>
      </c>
      <c r="AF64" s="92">
        <v>3.9E-2</v>
      </c>
      <c r="AG64" s="92">
        <v>60.2</v>
      </c>
      <c r="AH64" s="92">
        <v>0.04</v>
      </c>
      <c r="AI64" s="92">
        <v>0.03</v>
      </c>
      <c r="AJ64" s="7" t="s">
        <v>93</v>
      </c>
      <c r="AS64" s="94" t="s">
        <v>73</v>
      </c>
      <c r="AT64" s="95">
        <v>0</v>
      </c>
      <c r="AU64" s="95">
        <v>0</v>
      </c>
      <c r="AV64" s="95">
        <v>0</v>
      </c>
      <c r="AW64" s="95" t="s">
        <v>79</v>
      </c>
      <c r="AX64" s="96" t="s">
        <v>74</v>
      </c>
      <c r="AZ64" s="113" t="s">
        <v>97</v>
      </c>
      <c r="BA64" s="114">
        <v>0</v>
      </c>
      <c r="BB64" s="114">
        <v>0</v>
      </c>
      <c r="BC64" s="114">
        <v>0</v>
      </c>
      <c r="BD64" s="114" t="s">
        <v>96</v>
      </c>
      <c r="BE64" s="102" t="s">
        <v>83</v>
      </c>
    </row>
    <row r="65" spans="2:57" ht="15" customHeight="1" x14ac:dyDescent="0.3">
      <c r="B65" s="146"/>
      <c r="C65" s="15" t="s">
        <v>47</v>
      </c>
      <c r="D65" s="382">
        <f>N16+N28+N35+N43</f>
        <v>81394.000000000087</v>
      </c>
      <c r="E65" s="383"/>
      <c r="F65" s="50"/>
      <c r="G65" s="51" t="s">
        <v>48</v>
      </c>
      <c r="H65" s="52"/>
      <c r="I65" s="53"/>
      <c r="J65" s="53"/>
      <c r="K65" s="53"/>
      <c r="L65" s="53"/>
      <c r="M65" s="54"/>
      <c r="N65" s="55"/>
      <c r="O65" s="71"/>
      <c r="P65" s="71"/>
      <c r="X65" s="9"/>
      <c r="Y65" s="9"/>
      <c r="Z65" s="9"/>
      <c r="AA65" s="9"/>
      <c r="AB65" s="9"/>
      <c r="AC65" s="9"/>
      <c r="AE65" s="92" t="s">
        <v>114</v>
      </c>
      <c r="AF65" s="92">
        <v>3.9300000000000002E-2</v>
      </c>
      <c r="AG65" s="92">
        <v>51.4</v>
      </c>
      <c r="AH65" s="92">
        <v>0.1</v>
      </c>
      <c r="AI65" s="92">
        <v>0.03</v>
      </c>
      <c r="AJ65" s="7" t="s">
        <v>93</v>
      </c>
      <c r="AS65" s="94" t="s">
        <v>99</v>
      </c>
      <c r="AT65" s="95">
        <v>0</v>
      </c>
      <c r="AU65" s="95">
        <v>0</v>
      </c>
      <c r="AV65" s="95">
        <v>0</v>
      </c>
      <c r="AW65" s="95" t="s">
        <v>79</v>
      </c>
      <c r="AX65" s="96" t="s">
        <v>74</v>
      </c>
      <c r="AZ65" s="102" t="s">
        <v>119</v>
      </c>
      <c r="BA65" s="98">
        <v>0</v>
      </c>
      <c r="BB65" s="98">
        <v>0</v>
      </c>
      <c r="BC65" s="98">
        <v>0</v>
      </c>
      <c r="BD65" s="102">
        <v>34.4</v>
      </c>
      <c r="BE65" s="7" t="s">
        <v>74</v>
      </c>
    </row>
    <row r="66" spans="2:57" ht="15" customHeight="1" x14ac:dyDescent="0.3">
      <c r="B66" s="147"/>
      <c r="C66" s="17" t="s">
        <v>49</v>
      </c>
      <c r="D66" s="384">
        <f>N51</f>
        <v>37700</v>
      </c>
      <c r="E66" s="385"/>
      <c r="F66" s="56"/>
      <c r="G66" s="57" t="s">
        <v>48</v>
      </c>
      <c r="H66" s="58"/>
      <c r="I66" s="59"/>
      <c r="J66" s="59"/>
      <c r="K66" s="59"/>
      <c r="L66" s="59"/>
      <c r="M66" s="60"/>
      <c r="N66" s="61"/>
      <c r="O66" s="200"/>
      <c r="P66" s="200"/>
      <c r="AS66" s="94" t="s">
        <v>104</v>
      </c>
      <c r="AT66" s="95">
        <v>0</v>
      </c>
      <c r="AU66" s="95">
        <v>0</v>
      </c>
      <c r="AV66" s="95">
        <v>0</v>
      </c>
      <c r="AW66" s="95" t="s">
        <v>105</v>
      </c>
      <c r="AX66" s="96" t="s">
        <v>83</v>
      </c>
      <c r="AZ66" s="97" t="s">
        <v>73</v>
      </c>
      <c r="BA66" s="98">
        <v>0</v>
      </c>
      <c r="BB66" s="98">
        <v>0</v>
      </c>
      <c r="BC66" s="98">
        <v>0</v>
      </c>
      <c r="BD66" s="98" t="s">
        <v>79</v>
      </c>
      <c r="BE66" s="99" t="s">
        <v>74</v>
      </c>
    </row>
    <row r="67" spans="2:57" ht="15" customHeight="1" x14ac:dyDescent="0.3">
      <c r="B67" s="9"/>
      <c r="C67" s="16"/>
      <c r="D67" s="13"/>
      <c r="E67" s="13"/>
      <c r="F67" s="12"/>
      <c r="G67" s="12"/>
      <c r="H67" s="12"/>
      <c r="I67" s="10"/>
      <c r="J67" s="10"/>
      <c r="K67" s="10"/>
      <c r="L67" s="10"/>
      <c r="M67" s="11"/>
      <c r="N67" s="11"/>
      <c r="O67" s="71"/>
      <c r="P67" s="71"/>
      <c r="AE67" s="2" t="s">
        <v>108</v>
      </c>
      <c r="AS67" s="94" t="s">
        <v>109</v>
      </c>
      <c r="AT67" s="95">
        <v>0</v>
      </c>
      <c r="AU67" s="95">
        <v>0</v>
      </c>
      <c r="AV67" s="95">
        <v>0</v>
      </c>
      <c r="AW67" s="95" t="s">
        <v>110</v>
      </c>
      <c r="AX67" s="96" t="s">
        <v>83</v>
      </c>
      <c r="AZ67" s="97" t="s">
        <v>99</v>
      </c>
      <c r="BA67" s="98">
        <v>0</v>
      </c>
      <c r="BB67" s="98">
        <v>0</v>
      </c>
      <c r="BC67" s="98">
        <v>0</v>
      </c>
      <c r="BD67" s="98" t="s">
        <v>79</v>
      </c>
      <c r="BE67" s="99" t="s">
        <v>74</v>
      </c>
    </row>
    <row r="68" spans="2:57" ht="15" customHeight="1" x14ac:dyDescent="0.3">
      <c r="B68" s="148"/>
      <c r="C68" s="314" t="s">
        <v>366</v>
      </c>
      <c r="D68" s="314"/>
      <c r="E68" s="314"/>
      <c r="F68" s="314"/>
      <c r="G68" s="314"/>
      <c r="H68" s="314"/>
      <c r="I68" s="314"/>
      <c r="J68" s="314"/>
      <c r="K68" s="314"/>
      <c r="L68" s="314"/>
      <c r="M68" s="314"/>
      <c r="N68" s="314"/>
      <c r="O68" s="200"/>
      <c r="P68" s="200"/>
      <c r="AS68" s="94" t="s">
        <v>111</v>
      </c>
      <c r="AT68" s="95">
        <v>0</v>
      </c>
      <c r="AU68" s="95">
        <v>0</v>
      </c>
      <c r="AV68" s="95">
        <v>0</v>
      </c>
      <c r="AW68" s="95" t="s">
        <v>112</v>
      </c>
      <c r="AX68" s="96" t="s">
        <v>93</v>
      </c>
      <c r="AZ68" s="97" t="s">
        <v>104</v>
      </c>
      <c r="BA68" s="98">
        <v>0</v>
      </c>
      <c r="BB68" s="98">
        <v>0</v>
      </c>
      <c r="BC68" s="98">
        <v>0</v>
      </c>
      <c r="BD68" s="98" t="s">
        <v>105</v>
      </c>
      <c r="BE68" s="99" t="s">
        <v>83</v>
      </c>
    </row>
    <row r="69" spans="2:57" ht="15" customHeight="1" x14ac:dyDescent="0.3">
      <c r="B69" s="18"/>
      <c r="C69" s="314"/>
      <c r="D69" s="314"/>
      <c r="E69" s="314"/>
      <c r="F69" s="314"/>
      <c r="G69" s="314"/>
      <c r="H69" s="314"/>
      <c r="I69" s="314"/>
      <c r="J69" s="314"/>
      <c r="K69" s="314"/>
      <c r="L69" s="314"/>
      <c r="M69" s="314"/>
      <c r="N69" s="314"/>
      <c r="AS69" s="94" t="s">
        <v>114</v>
      </c>
      <c r="AT69" s="95">
        <v>0</v>
      </c>
      <c r="AU69" s="95">
        <v>0</v>
      </c>
      <c r="AV69" s="95">
        <v>0</v>
      </c>
      <c r="AW69" s="95" t="s">
        <v>115</v>
      </c>
      <c r="AX69" s="96" t="s">
        <v>93</v>
      </c>
      <c r="AZ69" s="97" t="s">
        <v>109</v>
      </c>
      <c r="BA69" s="98">
        <v>0</v>
      </c>
      <c r="BB69" s="98">
        <v>0</v>
      </c>
      <c r="BC69" s="98">
        <v>0</v>
      </c>
      <c r="BD69" s="98" t="s">
        <v>110</v>
      </c>
      <c r="BE69" s="99" t="s">
        <v>83</v>
      </c>
    </row>
    <row r="70" spans="2:57" ht="15" customHeight="1" x14ac:dyDescent="0.3">
      <c r="B70" s="19"/>
      <c r="C70" s="326" t="s">
        <v>50</v>
      </c>
      <c r="D70" s="74"/>
      <c r="E70" s="34" t="s">
        <v>51</v>
      </c>
      <c r="F70" s="343" t="str">
        <f>IF(D64&gt;=25000,"You may have triggered the emissions reporting threshold for this facility. Please contact the Clean Energy Regulator",IF(D64&gt;21000, "You are close to the emissions reporting threshold for this facility. Please contact the Clean Energy Regulator",""))</f>
        <v/>
      </c>
      <c r="G70" s="343"/>
      <c r="H70" s="343"/>
      <c r="I70" s="343"/>
      <c r="J70" s="343"/>
      <c r="K70" s="343"/>
      <c r="L70" s="343"/>
      <c r="M70" s="343"/>
      <c r="N70" s="73" t="s">
        <v>52</v>
      </c>
      <c r="AS70" s="94" t="s">
        <v>331</v>
      </c>
      <c r="AT70" s="95" t="s">
        <v>317</v>
      </c>
      <c r="AU70" s="95" t="s">
        <v>317</v>
      </c>
      <c r="AV70" s="95" t="s">
        <v>317</v>
      </c>
      <c r="AW70" s="95" t="s">
        <v>374</v>
      </c>
      <c r="AX70" s="96" t="s">
        <v>93</v>
      </c>
      <c r="AZ70" s="97" t="s">
        <v>111</v>
      </c>
      <c r="BA70" s="98">
        <v>0</v>
      </c>
      <c r="BB70" s="98">
        <v>0</v>
      </c>
      <c r="BC70" s="98">
        <v>0</v>
      </c>
      <c r="BD70" s="98" t="s">
        <v>112</v>
      </c>
      <c r="BE70" s="99" t="s">
        <v>93</v>
      </c>
    </row>
    <row r="71" spans="2:57" ht="15" customHeight="1" x14ac:dyDescent="0.35">
      <c r="B71" s="144"/>
      <c r="C71" s="326"/>
      <c r="D71" s="72"/>
      <c r="E71" s="332">
        <f>D64</f>
        <v>6150.4315555555677</v>
      </c>
      <c r="F71" s="332"/>
      <c r="G71" s="332"/>
      <c r="H71" s="332"/>
      <c r="I71" s="332"/>
      <c r="J71" s="332"/>
      <c r="K71" s="332"/>
      <c r="L71" s="332"/>
      <c r="M71" s="332"/>
      <c r="N71" s="377"/>
      <c r="AS71" s="94" t="s">
        <v>116</v>
      </c>
      <c r="AT71" s="95">
        <v>0</v>
      </c>
      <c r="AU71" s="95">
        <v>0</v>
      </c>
      <c r="AV71" s="95">
        <v>0</v>
      </c>
      <c r="AW71" s="95" t="s">
        <v>117</v>
      </c>
      <c r="AX71" s="96" t="s">
        <v>83</v>
      </c>
      <c r="AZ71" s="97" t="s">
        <v>114</v>
      </c>
      <c r="BA71" s="98">
        <v>0</v>
      </c>
      <c r="BB71" s="98">
        <v>0</v>
      </c>
      <c r="BC71" s="98">
        <v>0</v>
      </c>
      <c r="BD71" s="98" t="s">
        <v>115</v>
      </c>
      <c r="BE71" s="99" t="s">
        <v>93</v>
      </c>
    </row>
    <row r="72" spans="2:57" ht="15" customHeight="1" x14ac:dyDescent="0.35">
      <c r="B72" s="144"/>
      <c r="C72" s="326" t="s">
        <v>53</v>
      </c>
      <c r="D72" s="72"/>
      <c r="E72" s="34" t="s">
        <v>54</v>
      </c>
      <c r="F72" s="343" t="str">
        <f>IF(D65&gt;=100000,"You may have triggered the energy reporting threshold for this facility. Please contact the Clean Energy Regulator",IF(D65&gt;90000, "You are close to the energy reporting threshold for this facility. Please contact the Clean Energy Regulator",""))</f>
        <v/>
      </c>
      <c r="G72" s="343"/>
      <c r="H72" s="343"/>
      <c r="I72" s="343"/>
      <c r="J72" s="343"/>
      <c r="K72" s="343"/>
      <c r="L72" s="343"/>
      <c r="M72" s="343"/>
      <c r="N72" s="73" t="s">
        <v>55</v>
      </c>
      <c r="AZ72" s="97" t="s">
        <v>116</v>
      </c>
      <c r="BA72" s="98">
        <v>0</v>
      </c>
      <c r="BB72" s="98">
        <v>0</v>
      </c>
      <c r="BC72" s="98">
        <v>0</v>
      </c>
      <c r="BD72" s="98" t="s">
        <v>117</v>
      </c>
      <c r="BE72" s="99" t="s">
        <v>83</v>
      </c>
    </row>
    <row r="73" spans="2:57" ht="17.55" customHeight="1" x14ac:dyDescent="0.3">
      <c r="B73" s="144"/>
      <c r="C73" s="326"/>
      <c r="D73" s="186"/>
      <c r="E73" s="332">
        <f>D65</f>
        <v>81394.000000000087</v>
      </c>
      <c r="F73" s="332"/>
      <c r="G73" s="332"/>
      <c r="H73" s="332"/>
      <c r="I73" s="332"/>
      <c r="J73" s="332"/>
      <c r="K73" s="332"/>
      <c r="L73" s="332"/>
      <c r="M73" s="332"/>
      <c r="N73" s="377"/>
      <c r="AZ73" s="102" t="s">
        <v>121</v>
      </c>
      <c r="BA73" s="98">
        <v>0</v>
      </c>
      <c r="BB73" s="98">
        <v>0</v>
      </c>
      <c r="BC73" s="98">
        <v>0</v>
      </c>
      <c r="BD73" s="102">
        <v>45.8</v>
      </c>
      <c r="BE73" s="7" t="s">
        <v>83</v>
      </c>
    </row>
    <row r="74" spans="2:57" ht="17.55" customHeight="1" x14ac:dyDescent="0.3">
      <c r="B74" s="144"/>
      <c r="C74" s="326" t="s">
        <v>56</v>
      </c>
      <c r="D74" s="186"/>
      <c r="E74" s="34" t="s">
        <v>54</v>
      </c>
      <c r="F74" s="343" t="str">
        <f>IF(D66&gt;=100000,"You may have triggered the energy reporting threshold for this facility. Please contact the Clean Energy Regulator",IF(D66&gt;90000, "You are close to the energy reporting threshold for this facility. Please contact the Clean Energy Regulator",""))</f>
        <v/>
      </c>
      <c r="G74" s="343"/>
      <c r="H74" s="343"/>
      <c r="I74" s="343"/>
      <c r="J74" s="343"/>
      <c r="K74" s="343"/>
      <c r="L74" s="343"/>
      <c r="M74" s="343"/>
      <c r="N74" s="73" t="s">
        <v>55</v>
      </c>
      <c r="AZ74" s="102" t="s">
        <v>122</v>
      </c>
      <c r="BA74" s="98">
        <v>0</v>
      </c>
      <c r="BB74" s="98">
        <v>0</v>
      </c>
      <c r="BC74" s="98">
        <v>0</v>
      </c>
      <c r="BD74" s="102">
        <v>37.1</v>
      </c>
      <c r="BE74" s="7" t="s">
        <v>83</v>
      </c>
    </row>
    <row r="75" spans="2:57" ht="16.95" customHeight="1" x14ac:dyDescent="0.3">
      <c r="B75" s="149"/>
      <c r="C75" s="328"/>
      <c r="D75" s="187"/>
      <c r="E75" s="375">
        <f>D66</f>
        <v>37700</v>
      </c>
      <c r="F75" s="375"/>
      <c r="G75" s="375"/>
      <c r="H75" s="375"/>
      <c r="I75" s="375"/>
      <c r="J75" s="375"/>
      <c r="K75" s="375"/>
      <c r="L75" s="375"/>
      <c r="M75" s="375"/>
      <c r="N75" s="376"/>
      <c r="AZ75" s="102" t="s">
        <v>123</v>
      </c>
      <c r="BA75" s="98">
        <v>0</v>
      </c>
      <c r="BB75" s="98">
        <v>0</v>
      </c>
      <c r="BC75" s="98">
        <v>0</v>
      </c>
      <c r="BD75" s="102">
        <v>50.3</v>
      </c>
      <c r="BE75" s="7" t="s">
        <v>83</v>
      </c>
    </row>
    <row r="76" spans="2:57" ht="17.55" hidden="1" customHeight="1" x14ac:dyDescent="0.3">
      <c r="AZ76" s="102" t="s">
        <v>124</v>
      </c>
      <c r="BA76" s="98">
        <v>0</v>
      </c>
      <c r="BB76" s="98">
        <v>0</v>
      </c>
      <c r="BC76" s="98">
        <v>0</v>
      </c>
      <c r="BD76" s="7">
        <v>0</v>
      </c>
      <c r="BE76" s="7" t="s">
        <v>83</v>
      </c>
    </row>
    <row r="77" spans="2:57" ht="17.55" hidden="1" customHeight="1" x14ac:dyDescent="0.3">
      <c r="AZ77" s="7" t="s">
        <v>125</v>
      </c>
      <c r="BA77" s="7">
        <v>0</v>
      </c>
      <c r="BB77" s="7">
        <v>0</v>
      </c>
      <c r="BC77" s="7">
        <v>0</v>
      </c>
      <c r="BD77" s="7">
        <v>3.5999999999999999E-3</v>
      </c>
      <c r="BE77" s="7" t="s">
        <v>31</v>
      </c>
    </row>
    <row r="78" spans="2:57" ht="17.55" hidden="1" customHeight="1" x14ac:dyDescent="0.3">
      <c r="AZ78" s="7" t="s">
        <v>126</v>
      </c>
      <c r="BA78" s="7">
        <v>0</v>
      </c>
      <c r="BB78" s="7">
        <v>0</v>
      </c>
      <c r="BC78" s="7">
        <v>0</v>
      </c>
      <c r="BD78" s="7">
        <v>1</v>
      </c>
      <c r="BE78" s="7" t="s">
        <v>48</v>
      </c>
    </row>
    <row r="79" spans="2:57" ht="17.55" hidden="1" customHeight="1" x14ac:dyDescent="0.3">
      <c r="AZ79" s="7" t="s">
        <v>127</v>
      </c>
      <c r="BA79" s="7">
        <v>0</v>
      </c>
      <c r="BB79" s="7">
        <v>0</v>
      </c>
      <c r="BC79" s="7">
        <v>0</v>
      </c>
      <c r="BD79" s="7">
        <v>1</v>
      </c>
      <c r="BE79" s="7" t="s">
        <v>48</v>
      </c>
    </row>
    <row r="80" spans="2:57" ht="17.55" hidden="1" customHeight="1" x14ac:dyDescent="0.3">
      <c r="AZ80" s="7" t="s">
        <v>128</v>
      </c>
      <c r="BA80" s="7">
        <v>0</v>
      </c>
      <c r="BB80" s="7">
        <v>0</v>
      </c>
      <c r="BC80" s="7">
        <v>0</v>
      </c>
      <c r="BD80" s="7">
        <v>1</v>
      </c>
      <c r="BE80" s="7" t="s">
        <v>48</v>
      </c>
    </row>
    <row r="81" spans="52:57" ht="17.55" hidden="1" customHeight="1" x14ac:dyDescent="0.3">
      <c r="AZ81" s="7" t="s">
        <v>129</v>
      </c>
      <c r="BA81" s="7">
        <v>0</v>
      </c>
      <c r="BB81" s="7">
        <v>0</v>
      </c>
      <c r="BC81" s="7">
        <v>0</v>
      </c>
      <c r="BD81" s="7">
        <v>1</v>
      </c>
      <c r="BE81" s="7" t="s">
        <v>48</v>
      </c>
    </row>
    <row r="82" spans="52:57" ht="17.55" hidden="1" customHeight="1" x14ac:dyDescent="0.3"/>
    <row r="83" spans="52:57" ht="17.55" hidden="1" customHeight="1" x14ac:dyDescent="0.3"/>
    <row r="84" spans="52:57" ht="17.55" hidden="1" customHeight="1" x14ac:dyDescent="0.3"/>
    <row r="85" spans="52:57" ht="17.55" hidden="1" customHeight="1" x14ac:dyDescent="0.3"/>
    <row r="86" spans="52:57" ht="17.55" hidden="1" customHeight="1" x14ac:dyDescent="0.3"/>
    <row r="87" spans="52:57" ht="17.55" hidden="1" customHeight="1" x14ac:dyDescent="0.3"/>
    <row r="88" spans="52:57" ht="17.55" hidden="1" customHeight="1" x14ac:dyDescent="0.3"/>
    <row r="89" spans="52:57" ht="17.55" hidden="1" customHeight="1" x14ac:dyDescent="0.3"/>
    <row r="90" spans="52:57" ht="17.55" hidden="1" customHeight="1" x14ac:dyDescent="0.3"/>
    <row r="91" spans="52:57" ht="17.55" hidden="1" customHeight="1" x14ac:dyDescent="0.3"/>
    <row r="92" spans="52:57" ht="17.55" hidden="1" customHeight="1" x14ac:dyDescent="0.3"/>
    <row r="93" spans="52:57" ht="17.55" hidden="1" customHeight="1" x14ac:dyDescent="0.3"/>
    <row r="94" spans="52:57" ht="17.55" hidden="1" customHeight="1" x14ac:dyDescent="0.3"/>
    <row r="95" spans="52:57" ht="17.55" hidden="1" customHeight="1" x14ac:dyDescent="0.3"/>
    <row r="96" spans="52:57" ht="17.55" hidden="1" customHeight="1" x14ac:dyDescent="0.3"/>
    <row r="97" ht="17.55" hidden="1" customHeight="1" x14ac:dyDescent="0.3"/>
    <row r="98" ht="17.55" hidden="1" customHeight="1" x14ac:dyDescent="0.3"/>
  </sheetData>
  <sheetProtection algorithmName="SHA-256" hashValue="w8MNdOmv9V8lwgGgFHlzA4FYB1OrHRpTeFhDKUVid0k=" saltValue="QfngIjWwJ/en5HK55f/EDA==" spinCount="100000" sheet="1" objects="1" scenarios="1"/>
  <autoFilter ref="AE7:AJ7" xr:uid="{00000000-0009-0000-0000-000008000000}">
    <sortState xmlns:xlrd2="http://schemas.microsoft.com/office/spreadsheetml/2017/richdata2" ref="AE8:AJ62">
      <sortCondition ref="AE7"/>
    </sortState>
  </autoFilter>
  <mergeCells count="56">
    <mergeCell ref="P6:P8"/>
    <mergeCell ref="C74:C75"/>
    <mergeCell ref="F74:M74"/>
    <mergeCell ref="E75:N75"/>
    <mergeCell ref="C60:N61"/>
    <mergeCell ref="C70:C71"/>
    <mergeCell ref="F70:M70"/>
    <mergeCell ref="E71:N71"/>
    <mergeCell ref="C72:C73"/>
    <mergeCell ref="F72:M72"/>
    <mergeCell ref="E73:N73"/>
    <mergeCell ref="D63:E63"/>
    <mergeCell ref="D64:E64"/>
    <mergeCell ref="I64:N64"/>
    <mergeCell ref="D65:E65"/>
    <mergeCell ref="D66:E66"/>
    <mergeCell ref="C68:N69"/>
    <mergeCell ref="G51:L51"/>
    <mergeCell ref="D62:E62"/>
    <mergeCell ref="G43:L43"/>
    <mergeCell ref="C45:C46"/>
    <mergeCell ref="E45:E46"/>
    <mergeCell ref="G45:G46"/>
    <mergeCell ref="I45:K45"/>
    <mergeCell ref="J50:K50"/>
    <mergeCell ref="C53:C54"/>
    <mergeCell ref="E53:E54"/>
    <mergeCell ref="G53:G54"/>
    <mergeCell ref="I53:K53"/>
    <mergeCell ref="G58:L58"/>
    <mergeCell ref="I55:K55"/>
    <mergeCell ref="J42:K42"/>
    <mergeCell ref="C30:C31"/>
    <mergeCell ref="E30:E31"/>
    <mergeCell ref="G30:G31"/>
    <mergeCell ref="I30:K30"/>
    <mergeCell ref="J33:L33"/>
    <mergeCell ref="J34:L34"/>
    <mergeCell ref="G35:L35"/>
    <mergeCell ref="C37:C38"/>
    <mergeCell ref="E37:E38"/>
    <mergeCell ref="G37:G38"/>
    <mergeCell ref="I37:K37"/>
    <mergeCell ref="G28:L28"/>
    <mergeCell ref="C2:N2"/>
    <mergeCell ref="E4:H4"/>
    <mergeCell ref="J4:L4"/>
    <mergeCell ref="C6:C7"/>
    <mergeCell ref="E6:E7"/>
    <mergeCell ref="G6:G7"/>
    <mergeCell ref="I6:K6"/>
    <mergeCell ref="G16:L16"/>
    <mergeCell ref="C18:C19"/>
    <mergeCell ref="E18:E19"/>
    <mergeCell ref="G18:G19"/>
    <mergeCell ref="I18:K18"/>
  </mergeCells>
  <phoneticPr fontId="4" type="noConversion"/>
  <conditionalFormatting sqref="G64:I64 G62:G63">
    <cfRule type="dataBar" priority="12">
      <dataBar>
        <cfvo type="min"/>
        <cfvo type="max"/>
        <color rgb="FF638EC6"/>
      </dataBar>
      <extLst>
        <ext xmlns:x14="http://schemas.microsoft.com/office/spreadsheetml/2009/9/main" uri="{B025F937-C7B1-47D3-B67F-A62EFF666E3E}">
          <x14:id>{0F144A25-A4BB-426B-A12B-3E08583B5E1E}</x14:id>
        </ext>
      </extLst>
    </cfRule>
  </conditionalFormatting>
  <conditionalFormatting sqref="G21:P27">
    <cfRule type="cellIs" dxfId="14" priority="7" operator="equal">
      <formula>0</formula>
    </cfRule>
  </conditionalFormatting>
  <conditionalFormatting sqref="H40:P42">
    <cfRule type="cellIs" dxfId="13" priority="6" operator="equal">
      <formula>0</formula>
    </cfRule>
  </conditionalFormatting>
  <conditionalFormatting sqref="H48:P50">
    <cfRule type="cellIs" dxfId="12" priority="5" operator="equal">
      <formula>0</formula>
    </cfRule>
  </conditionalFormatting>
  <conditionalFormatting sqref="I33 I41">
    <cfRule type="cellIs" dxfId="11" priority="19" operator="equal">
      <formula>0.64</formula>
    </cfRule>
  </conditionalFormatting>
  <conditionalFormatting sqref="I33 J33:J34 M33:P34 I41:M41 C65">
    <cfRule type="cellIs" dxfId="10" priority="18" operator="equal">
      <formula>0</formula>
    </cfRule>
  </conditionalFormatting>
  <conditionalFormatting sqref="I34">
    <cfRule type="cellIs" priority="2" operator="equal">
      <formula>0.64</formula>
    </cfRule>
    <cfRule type="cellIs" dxfId="9" priority="17" operator="equal">
      <formula>0</formula>
    </cfRule>
  </conditionalFormatting>
  <conditionalFormatting sqref="I49:M49">
    <cfRule type="aboveAverage" dxfId="8" priority="15"/>
  </conditionalFormatting>
  <conditionalFormatting sqref="I9:P15">
    <cfRule type="cellIs" dxfId="7" priority="11" operator="equal">
      <formula>0</formula>
    </cfRule>
  </conditionalFormatting>
  <conditionalFormatting sqref="I40:P40 N41:P42 J42 L42:M42">
    <cfRule type="cellIs" dxfId="6" priority="16" operator="equal">
      <formula>0</formula>
    </cfRule>
  </conditionalFormatting>
  <conditionalFormatting sqref="I48:P48 N49:P50 J50 L50:M50">
    <cfRule type="cellIs" dxfId="5" priority="14" operator="equal">
      <formula>0</formula>
    </cfRule>
  </conditionalFormatting>
  <conditionalFormatting sqref="L57 N57">
    <cfRule type="cellIs" dxfId="4" priority="1" operator="equal">
      <formula>0</formula>
    </cfRule>
  </conditionalFormatting>
  <conditionalFormatting sqref="M63">
    <cfRule type="cellIs" dxfId="3" priority="13" operator="equal">
      <formula>0</formula>
    </cfRule>
  </conditionalFormatting>
  <conditionalFormatting sqref="N4:O4">
    <cfRule type="expression" dxfId="2" priority="3">
      <formula>M4="No specific period"</formula>
    </cfRule>
  </conditionalFormatting>
  <conditionalFormatting sqref="N4:P4">
    <cfRule type="cellIs" dxfId="1" priority="4" operator="equal">
      <formula>"# of days?"</formula>
    </cfRule>
  </conditionalFormatting>
  <conditionalFormatting sqref="O64:P64 E71:N71">
    <cfRule type="dataBar" priority="10">
      <dataBar>
        <cfvo type="num" val="0"/>
        <cfvo type="num" val="25000"/>
        <color rgb="FF638EC6"/>
      </dataBar>
      <extLst>
        <ext xmlns:x14="http://schemas.microsoft.com/office/spreadsheetml/2009/9/main" uri="{B025F937-C7B1-47D3-B67F-A62EFF666E3E}">
          <x14:id>{9ECC3D72-7973-40DE-9A7B-4B33DE888E45}</x14:id>
        </ext>
      </extLst>
    </cfRule>
  </conditionalFormatting>
  <conditionalFormatting sqref="O66:P66 E73:N73 O68:P68 E75:N75">
    <cfRule type="dataBar" priority="9">
      <dataBar>
        <cfvo type="num" val="0"/>
        <cfvo type="num" val="100000"/>
        <color rgb="FF638EC6"/>
      </dataBar>
      <extLst>
        <ext xmlns:x14="http://schemas.microsoft.com/office/spreadsheetml/2009/9/main" uri="{B025F937-C7B1-47D3-B67F-A62EFF666E3E}">
          <x14:id>{64D695AC-C727-4ACD-8433-78356B9BF9B3}</x14:id>
        </ext>
      </extLst>
    </cfRule>
  </conditionalFormatting>
  <conditionalFormatting sqref="P4">
    <cfRule type="expression" dxfId="0" priority="41">
      <formula>N4="No specific period"</formula>
    </cfRule>
  </conditionalFormatting>
  <dataValidations count="6">
    <dataValidation type="list" allowBlank="1" showInputMessage="1" showErrorMessage="1" sqref="M4" xr:uid="{00000000-0002-0000-0800-000000000000}">
      <formula1>$S$3:$S$4</formula1>
    </dataValidation>
    <dataValidation type="list" allowBlank="1" showInputMessage="1" showErrorMessage="1" sqref="C33:C34" xr:uid="{00000000-0002-0000-0800-000004000000}">
      <formula1>$AM$10:$AM$19</formula1>
    </dataValidation>
    <dataValidation type="list" allowBlank="1" showInputMessage="1" showErrorMessage="1" sqref="C48:C50" xr:uid="{00000000-0002-0000-0800-000002000000}">
      <formula1>$AS$8:$AS$71</formula1>
    </dataValidation>
    <dataValidation type="list" allowBlank="1" showInputMessage="1" showErrorMessage="1" sqref="C40:C42" xr:uid="{00000000-0002-0000-0800-000001000000}">
      <formula1>$AZ$8:$AZ$81</formula1>
    </dataValidation>
    <dataValidation type="list" allowBlank="1" showInputMessage="1" showErrorMessage="1" sqref="C9:C15" xr:uid="{00000000-0002-0000-0800-000005000000}">
      <formula1>$X$8:$X$35</formula1>
    </dataValidation>
    <dataValidation type="list" allowBlank="1" showInputMessage="1" showErrorMessage="1" sqref="C21:C27" xr:uid="{00000000-0002-0000-0800-000003000000}">
      <formula1>$AE$8:$AE$65</formula1>
    </dataValidation>
  </dataValidations>
  <pageMargins left="0.7" right="0.7" top="0.75" bottom="0.75" header="0.3" footer="0.3"/>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dataBar" id="{0F144A25-A4BB-426B-A12B-3E08583B5E1E}">
            <x14:dataBar minLength="0" maxLength="100" border="1" negativeBarBorderColorSameAsPositive="0">
              <x14:cfvo type="autoMin"/>
              <x14:cfvo type="autoMax"/>
              <x14:borderColor rgb="FF638EC6"/>
              <x14:negativeFillColor rgb="FFFF0000"/>
              <x14:negativeBorderColor rgb="FFFF0000"/>
              <x14:axisColor rgb="FF000000"/>
            </x14:dataBar>
          </x14:cfRule>
          <xm:sqref>G64:I64 G62:G63</xm:sqref>
        </x14:conditionalFormatting>
        <x14:conditionalFormatting xmlns:xm="http://schemas.microsoft.com/office/excel/2006/main">
          <x14:cfRule type="dataBar" id="{9ECC3D72-7973-40DE-9A7B-4B33DE888E45}">
            <x14:dataBar minLength="0" maxLength="100" gradient="0">
              <x14:cfvo type="num">
                <xm:f>0</xm:f>
              </x14:cfvo>
              <x14:cfvo type="num">
                <xm:f>25000</xm:f>
              </x14:cfvo>
              <x14:negativeFillColor rgb="FFFF0000"/>
              <x14:axisColor rgb="FF000000"/>
            </x14:dataBar>
          </x14:cfRule>
          <xm:sqref>O64:P64 E71:N71</xm:sqref>
        </x14:conditionalFormatting>
        <x14:conditionalFormatting xmlns:xm="http://schemas.microsoft.com/office/excel/2006/main">
          <x14:cfRule type="dataBar" id="{64D695AC-C727-4ACD-8433-78356B9BF9B3}">
            <x14:dataBar minLength="0" maxLength="100" gradient="0">
              <x14:cfvo type="num">
                <xm:f>0</xm:f>
              </x14:cfvo>
              <x14:cfvo type="num">
                <xm:f>100000</xm:f>
              </x14:cfvo>
              <x14:negativeFillColor rgb="FFFF0000"/>
              <x14:axisColor rgb="FF000000"/>
            </x14:dataBar>
          </x14:cfRule>
          <xm:sqref>O66:P66 E73:N73 O68:P68 E75:N75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Start page</vt:lpstr>
      <vt:lpstr>Facility 1</vt:lpstr>
      <vt:lpstr>Facility 2</vt:lpstr>
      <vt:lpstr>Facility 3</vt:lpstr>
      <vt:lpstr>Facility 4</vt:lpstr>
      <vt:lpstr>Facility 5</vt:lpstr>
      <vt:lpstr>Facility 6</vt:lpstr>
      <vt:lpstr>Output</vt:lpstr>
      <vt:lpstr>Example</vt:lpstr>
      <vt:lpstr> Convert &amp; Lookup</vt:lpstr>
      <vt:lpstr>Calculation engine</vt:lpstr>
      <vt:lpstr>About</vt:lpstr>
      <vt:lpstr>Example!Print_Area</vt:lpstr>
      <vt:lpstr>'Facility 1'!Print_Area</vt:lpstr>
      <vt:lpstr>'Facility 2'!Print_Area</vt:lpstr>
      <vt:lpstr>'Facility 3'!Print_Area</vt:lpstr>
      <vt:lpstr>'Facility 4'!Print_Area</vt:lpstr>
      <vt:lpstr>'Facility 5'!Print_Area</vt:lpstr>
      <vt:lpstr>'Facility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2026-06-17T01:04:14Z</dcterms:created>
  <dcterms:modified xsi:type="dcterms:W3CDTF">2026-06-22T23:06:25Z</dcterms:modified>
  <cp:category/>
  <cp:contentStatus/>
</cp:coreProperties>
</file>